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12- DICIEMBRE 2022/"/>
    </mc:Choice>
  </mc:AlternateContent>
  <xr:revisionPtr revIDLastSave="0" documentId="8_{432C1882-A5BC-4221-B2D2-91FEF26F7741}" xr6:coauthVersionLast="47" xr6:coauthVersionMax="47" xr10:uidLastSave="{00000000-0000-0000-0000-000000000000}"/>
  <bookViews>
    <workbookView xWindow="-120" yWindow="-120" windowWidth="20730" windowHeight="11160" xr2:uid="{55DD8CB0-AFA8-4A10-AF5F-D9B06E3B170F}"/>
  </bookViews>
  <sheets>
    <sheet name="NOTAS ESTADOS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8" i="1" l="1"/>
  <c r="G548" i="1"/>
  <c r="I547" i="1"/>
  <c r="G547" i="1"/>
  <c r="I543" i="1"/>
  <c r="G543" i="1"/>
  <c r="I534" i="1"/>
  <c r="G532" i="1"/>
  <c r="G534" i="1" s="1"/>
  <c r="I519" i="1"/>
  <c r="G519" i="1"/>
  <c r="G520" i="1" s="1"/>
  <c r="I518" i="1"/>
  <c r="I516" i="1"/>
  <c r="I504" i="1"/>
  <c r="G499" i="1"/>
  <c r="I494" i="1"/>
  <c r="G494" i="1"/>
  <c r="I493" i="1"/>
  <c r="G493" i="1"/>
  <c r="G492" i="1"/>
  <c r="I491" i="1"/>
  <c r="G491" i="1"/>
  <c r="I473" i="1"/>
  <c r="G472" i="1"/>
  <c r="G471" i="1"/>
  <c r="I470" i="1"/>
  <c r="G470" i="1"/>
  <c r="I469" i="1"/>
  <c r="G469" i="1"/>
  <c r="I468" i="1"/>
  <c r="G468" i="1"/>
  <c r="I467" i="1"/>
  <c r="G467" i="1"/>
  <c r="G466" i="1"/>
  <c r="I463" i="1"/>
  <c r="G463" i="1"/>
  <c r="I462" i="1"/>
  <c r="G462" i="1"/>
  <c r="I460" i="1"/>
  <c r="I459" i="1"/>
  <c r="I458" i="1"/>
  <c r="G458" i="1"/>
  <c r="I457" i="1"/>
  <c r="G457" i="1"/>
  <c r="I455" i="1"/>
  <c r="G455" i="1"/>
  <c r="G436" i="1"/>
  <c r="I432" i="1"/>
  <c r="I430" i="1"/>
  <c r="G430" i="1"/>
  <c r="G432" i="1" s="1"/>
  <c r="I415" i="1"/>
  <c r="G415" i="1"/>
  <c r="I402" i="1"/>
  <c r="I403" i="1" s="1"/>
  <c r="G402" i="1"/>
  <c r="G403" i="1" s="1"/>
  <c r="I389" i="1"/>
  <c r="G389" i="1"/>
  <c r="I371" i="1"/>
  <c r="G368" i="1"/>
  <c r="G371" i="1" s="1"/>
  <c r="I361" i="1"/>
  <c r="I364" i="1" s="1"/>
  <c r="G361" i="1"/>
  <c r="G364" i="1" s="1"/>
  <c r="I340" i="1"/>
  <c r="G338" i="1"/>
  <c r="I329" i="1"/>
  <c r="I331" i="1" s="1"/>
  <c r="I332" i="1" s="1"/>
  <c r="G329" i="1"/>
  <c r="G331" i="1" s="1"/>
  <c r="G332" i="1" s="1"/>
  <c r="I320" i="1"/>
  <c r="G320" i="1"/>
  <c r="I299" i="1"/>
  <c r="G299" i="1"/>
  <c r="I292" i="1"/>
  <c r="G292" i="1"/>
  <c r="G300" i="1" s="1"/>
  <c r="I284" i="1"/>
  <c r="G284" i="1"/>
  <c r="I276" i="1"/>
  <c r="G276" i="1"/>
  <c r="I247" i="1"/>
  <c r="G247" i="1"/>
  <c r="I240" i="1"/>
  <c r="G240" i="1"/>
  <c r="I234" i="1"/>
  <c r="I235" i="1" s="1"/>
  <c r="I266" i="1" s="1"/>
  <c r="G234" i="1"/>
  <c r="G235" i="1" s="1"/>
  <c r="I220" i="1"/>
  <c r="G220" i="1"/>
  <c r="I203" i="1"/>
  <c r="G203" i="1"/>
  <c r="I196" i="1"/>
  <c r="I192" i="1"/>
  <c r="G192" i="1"/>
  <c r="G196" i="1" s="1"/>
  <c r="I177" i="1"/>
  <c r="I179" i="1" s="1"/>
  <c r="G177" i="1"/>
  <c r="G175" i="1"/>
  <c r="I157" i="1"/>
  <c r="I170" i="1" s="1"/>
  <c r="G157" i="1"/>
  <c r="G170" i="1" s="1"/>
  <c r="I80" i="1"/>
  <c r="I83" i="1" s="1"/>
  <c r="G79" i="1"/>
  <c r="G80" i="1" s="1"/>
  <c r="I73" i="1"/>
  <c r="G73" i="1"/>
  <c r="I61" i="1"/>
  <c r="G61" i="1"/>
  <c r="I30" i="1"/>
  <c r="G30" i="1"/>
  <c r="I21" i="1"/>
  <c r="G21" i="1"/>
  <c r="G179" i="1" l="1"/>
  <c r="I438" i="1"/>
  <c r="G266" i="1"/>
  <c r="G304" i="1" s="1"/>
  <c r="G474" i="1"/>
  <c r="G505" i="1"/>
  <c r="G75" i="1"/>
  <c r="I520" i="1"/>
  <c r="G85" i="1"/>
  <c r="G83" i="1"/>
  <c r="G373" i="1"/>
  <c r="I75" i="1"/>
  <c r="I85" i="1" s="1"/>
  <c r="I345" i="1" s="1"/>
  <c r="I300" i="1"/>
  <c r="I304" i="1" s="1"/>
  <c r="G438" i="1"/>
  <c r="I334" i="1"/>
  <c r="I474" i="1"/>
  <c r="I505" i="1"/>
  <c r="G549" i="1"/>
  <c r="I549" i="1"/>
  <c r="I373" i="1"/>
  <c r="G391" i="1"/>
  <c r="I391" i="1"/>
  <c r="G545" i="1" l="1"/>
  <c r="G551" i="1" s="1"/>
  <c r="I545" i="1"/>
  <c r="I551" i="1" s="1"/>
  <c r="G336" i="1"/>
  <c r="G340" i="1" s="1"/>
  <c r="G308" i="1"/>
  <c r="I336" i="1"/>
  <c r="I308" i="1"/>
  <c r="G334" i="1" l="1"/>
  <c r="G345" i="1"/>
</calcChain>
</file>

<file path=xl/sharedStrings.xml><?xml version="1.0" encoding="utf-8"?>
<sst xmlns="http://schemas.openxmlformats.org/spreadsheetml/2006/main" count="367" uniqueCount="349">
  <si>
    <t>INSTITUTO DEL TABACO DE LA REP. DOM.</t>
  </si>
  <si>
    <t>NOTAS A LOS ESTADOS FINANCIEROS</t>
  </si>
  <si>
    <t>AL 31 DE DICIEMBRE 2022 Y 2021</t>
  </si>
  <si>
    <t>VALORES EN RD $</t>
  </si>
  <si>
    <t>ACTIVOS CORRIENTES</t>
  </si>
  <si>
    <t>Efectivo y equivalente efectivo (Nota7)</t>
  </si>
  <si>
    <t>AL 31 de Diciembre del 2022 y 2021 los balance en las cuentas de banco de reservas y disponibilidad en</t>
  </si>
  <si>
    <t xml:space="preserve">Tesorería nacional  asciende a  RD$87,914,258.00 y RD$86,519,192 00  respectivamente las cuales detallamos </t>
  </si>
  <si>
    <t>a continuación:</t>
  </si>
  <si>
    <t>Cuenta Disponibilidad Tesoreria Nacional</t>
  </si>
  <si>
    <t>Banco de Reservas - Cta. General (120-500014-0)</t>
  </si>
  <si>
    <t>Total Efectivo en Caja y Bancos</t>
  </si>
  <si>
    <t>Cuentas Por Cobrar (Nota 8)</t>
  </si>
  <si>
    <t xml:space="preserve">La Cuenta  por  Cobrar  al 31 de Diciembre 2022 y 2021 presenta balance de RE$1,883,019.00 y RD$ 1,835,465.00 </t>
  </si>
  <si>
    <t xml:space="preserve"> respectivamente  </t>
  </si>
  <si>
    <t>CxC Cosecheros</t>
  </si>
  <si>
    <t>Total Cuentas Por Cobrar</t>
  </si>
  <si>
    <t>Existencia de Bienes de Cambio y Consumo (Nota 9)</t>
  </si>
  <si>
    <t>Los Balances de la cuenta de bienes de cambio al 31 de Diciembre 2022 y 2021 son deRD$26,949,100.00 y</t>
  </si>
  <si>
    <t>RD$ 32,127,689.00 respectivamente.</t>
  </si>
  <si>
    <t>Inventario en Almacenes:</t>
  </si>
  <si>
    <t>Abonos y Fertizantes - Almacén No. 1</t>
  </si>
  <si>
    <t>Inv. Bombas de Fumigar Mochilas</t>
  </si>
  <si>
    <t>Inv. Medicamentos Veterinarios</t>
  </si>
  <si>
    <t>Inv de Plantulas</t>
  </si>
  <si>
    <t>Transferencia Almacen</t>
  </si>
  <si>
    <t>Inventario Tabaco Almacen No. 5</t>
  </si>
  <si>
    <t>Inv. Tabaco en Proceso</t>
  </si>
  <si>
    <t>Materiales e implementos</t>
  </si>
  <si>
    <t>Inventario Gral Fab. Cigarros</t>
  </si>
  <si>
    <t>Inventario de Madera en Almacén</t>
  </si>
  <si>
    <t>Inv. Cultivo Alternativo Maiz</t>
  </si>
  <si>
    <t>Inv. Alternativo Semillas</t>
  </si>
  <si>
    <t>Inv. Tabaco en Rama</t>
  </si>
  <si>
    <t>Total Existencia de bienes de cambio y consumo</t>
  </si>
  <si>
    <t>Inventario de Consumo</t>
  </si>
  <si>
    <t>La cuenta de Materiales y Suministro esta compuesta por Bienes de Uso de la institución cuyos montos</t>
  </si>
  <si>
    <t>Fueron levantados a través de los informes de cierre mensual por valor de RD$2,727,077.00 y  RD$ 1,950,,470.00</t>
  </si>
  <si>
    <t>respectivamente.</t>
  </si>
  <si>
    <t>Suministro Materiales de Oficina</t>
  </si>
  <si>
    <t>Suministro Materiales de Limpieza</t>
  </si>
  <si>
    <t>Suministro Materiales e Implementos</t>
  </si>
  <si>
    <t>Inventario del Taller</t>
  </si>
  <si>
    <t>Total de Inventario de consumo</t>
  </si>
  <si>
    <t>Total Gral. Inventarios</t>
  </si>
  <si>
    <t>Pagados Por Anticipado (Nota 10)</t>
  </si>
  <si>
    <t>Seguros Pagados Por Anticipado</t>
  </si>
  <si>
    <t>Total de Seguros Pagados Por Anticipado</t>
  </si>
  <si>
    <t>Total Gastos Anticipados</t>
  </si>
  <si>
    <t>Total Activos Corrientes</t>
  </si>
  <si>
    <t>Activos No Corrientes</t>
  </si>
  <si>
    <t>Propiedad Planta y Equipos (Nota 11 )</t>
  </si>
  <si>
    <t>Los Balances de la cuenta de bienes de uso al 31 de Diciembre 2022 y 2021 son de RD$ 32,570,140.00  y</t>
  </si>
  <si>
    <t>RD$37.748-117.00  respectivamente, los cuales detallamos a continuación:</t>
  </si>
  <si>
    <t>TERRENOS</t>
  </si>
  <si>
    <t>Terrenos Pre-Urbanizables de la Estación Quinigua:</t>
  </si>
  <si>
    <t>Una porción de terreno urbano dentro de la parcela No. 104, del D. C.  No. 2,</t>
  </si>
  <si>
    <t>según certificado de titulo No.149, anotación  No. 4, comprado al Sr.  Antonio</t>
  </si>
  <si>
    <t>Francisco Rojas a nombre del Instituto del Tabaco de la Republica Dominica</t>
  </si>
  <si>
    <t>na, con una extensión superficial de cincuenta  ( 50 )  tareas, a razón de RD</t>
  </si>
  <si>
    <t>$ 61,904.76  pesos cada una,  para un total de………………………………….</t>
  </si>
  <si>
    <t>Una porción de terreno rural dentro de la parcela No.  104,  del D. C.  No.2,</t>
  </si>
  <si>
    <t>según certificado de  titulo  No. 149,  anotación No. 4,  comprado  al  Señor</t>
  </si>
  <si>
    <t>Antonio Francisco Rojas a nombre del Estado Dominicano,  con una exten-</t>
  </si>
  <si>
    <t>sión superficial de treinta y nueve  ( 39 )  tareas, a razón de RD$ 63,015.87</t>
  </si>
  <si>
    <t>pesos cada una, para un total de………………………………………………..</t>
  </si>
  <si>
    <t>Terrenos Rurales de la Estación Quinigua:</t>
  </si>
  <si>
    <t>Una porción de terreno rural,  dentro de la parcela No. 104  del D. C.  No. 2,</t>
  </si>
  <si>
    <t>según  certificado  de titulo No. 149,  anotación No. 4,  comprando al  Señor</t>
  </si>
  <si>
    <t>Antonio Francisco Rojas a nombre del  Instituto del Tabaco de la  República</t>
  </si>
  <si>
    <t>Dominicana, con una extensión superficial de cincuenta (50) tareas, a razón</t>
  </si>
  <si>
    <t>de RD$ 30,952.38 pesos cada una, para un total de…………………………..</t>
  </si>
  <si>
    <t>Una porción de terreno rural dentro de la parcela No. 104 del D. C.  No. 2,</t>
  </si>
  <si>
    <t>según certificado de titulo No. 149,  anotación No. 4, comprando al Señor</t>
  </si>
  <si>
    <t>Antonio Francisco Rojas a nombre del Estado Dominicano con una exten</t>
  </si>
  <si>
    <t>sión superficial de nueve punto noventa y uno   ( 9.91 )  tareas, a razón de</t>
  </si>
  <si>
    <t>RD$ 30,952.38 pesos cada una, para un total de………………………………</t>
  </si>
  <si>
    <t>Una porción de terreno rural,  dentro de la parcela No. 115  del D. C.  No. 2,</t>
  </si>
  <si>
    <t>según certificado de titulo no. 118, anotación no. 3, comprando a la Señora</t>
  </si>
  <si>
    <t>Teresa Almonte a nombre del Estado Dominicano con una extension super</t>
  </si>
  <si>
    <t>ficial de veinte punto setenta y dos  (20.72) tareas, a razón de RD$12,380.95</t>
  </si>
  <si>
    <t>pesos cada una, para un total de…………………………………………………</t>
  </si>
  <si>
    <t>Una porción de terreno rural dentro de la parcela  No. 115  del D. C.  No. 2,</t>
  </si>
  <si>
    <t>ficial de ciento Treinta punto setenta y seis  (130.76) tareas, a razón de RD$</t>
  </si>
  <si>
    <t>12, 380.95 pesos cada una, para un total de…………………………………….</t>
  </si>
  <si>
    <t>Terreno en Cotuí</t>
  </si>
  <si>
    <t>Una porción de terreno rural,  dentro de la parcela  No. 90  del D. C.  No. 17,</t>
  </si>
  <si>
    <t>según asentamiento AC-097, ubicado en la sección Quita Sueño, del Munici</t>
  </si>
  <si>
    <t>pio de Cotuí, Comprada al Sr. Juan Manzueta, a nombre del Instituto Agrario</t>
  </si>
  <si>
    <t>Dominicano, Con un total de  36.08  tareas, a razón de RD$2,771.62 pesos</t>
  </si>
  <si>
    <t>cada una, para un total de…………………………………………………………</t>
  </si>
  <si>
    <t>Total de Terrenos Rurales y Pre-Urbanos Quinigua y Cotuí</t>
  </si>
  <si>
    <t>EDIFICACION</t>
  </si>
  <si>
    <t>Edificacion Inmobiliaria - Valor Mejora</t>
  </si>
  <si>
    <t>Estacion Experimental Quinigua</t>
  </si>
  <si>
    <t>Edificio Oficina Principal - Quinigua</t>
  </si>
  <si>
    <t>Edificio Laboratorio y Sala Conferencia</t>
  </si>
  <si>
    <t>Edificio Investigacion</t>
  </si>
  <si>
    <t>Verjas y Pavimentos</t>
  </si>
  <si>
    <t>Utensilios Menores</t>
  </si>
  <si>
    <t>Estacion Experimental Yamasa</t>
  </si>
  <si>
    <t>Edificios</t>
  </si>
  <si>
    <t>Alambradas</t>
  </si>
  <si>
    <t>Caseta Motobomba</t>
  </si>
  <si>
    <t>Otras Construccion y Mejoras</t>
  </si>
  <si>
    <t>Estacion Experimental Cotui</t>
  </si>
  <si>
    <t>Estacion Experimental La Canela</t>
  </si>
  <si>
    <t>Total Edificaciones Inmobiliarias - Valor Mejora</t>
  </si>
  <si>
    <t>Mobiliario y Equipo de Oficina</t>
  </si>
  <si>
    <t>Oficinas Central de Quinigua</t>
  </si>
  <si>
    <t>Edificio de Investigacion</t>
  </si>
  <si>
    <t>Edificio Estacion, Laboratorio y Sala de Conferencia</t>
  </si>
  <si>
    <t>Total Mobiliario y Equipo Oficina</t>
  </si>
  <si>
    <t>Maquinarias Agricolas, Transporte y Generación</t>
  </si>
  <si>
    <t>Estacion Quinigua</t>
  </si>
  <si>
    <t>Tractores</t>
  </si>
  <si>
    <t>Plantas Electricas</t>
  </si>
  <si>
    <t>Maquina para pozo tubular</t>
  </si>
  <si>
    <t>Vehiculos de Transporte</t>
  </si>
  <si>
    <t>Otros Vehiculos al servicio de la Institucion</t>
  </si>
  <si>
    <t>Bomba de Riego</t>
  </si>
  <si>
    <t>Sistema de riego por goteo</t>
  </si>
  <si>
    <t>Estacion Yamasa</t>
  </si>
  <si>
    <t>Estacion Cotui</t>
  </si>
  <si>
    <t>Total</t>
  </si>
  <si>
    <t>Utensilios Agricolas</t>
  </si>
  <si>
    <t>Estación Quinigua</t>
  </si>
  <si>
    <t>Estación Cotuí</t>
  </si>
  <si>
    <t>Estacion La Canela</t>
  </si>
  <si>
    <t>Estación Yamasa</t>
  </si>
  <si>
    <t>Total Utensilios Agrícolas</t>
  </si>
  <si>
    <t xml:space="preserve">RANCHOS  </t>
  </si>
  <si>
    <t>Estacion Central Quinigua</t>
  </si>
  <si>
    <t>Rancho Almacen No.1</t>
  </si>
  <si>
    <t>Rancho Almacen No.2</t>
  </si>
  <si>
    <t>Rancho Almacen No.3</t>
  </si>
  <si>
    <t>Rancho Almacen No.4</t>
  </si>
  <si>
    <t>Rancho Almacen No.5</t>
  </si>
  <si>
    <t>Rancho Almacen No.6</t>
  </si>
  <si>
    <t>Rancho Almacen No.7</t>
  </si>
  <si>
    <t>Rancho Almacen No.8</t>
  </si>
  <si>
    <t>Rancho Almacen No.9</t>
  </si>
  <si>
    <t>Rancho Almacen No.10</t>
  </si>
  <si>
    <t>Rancho Almacen No.11</t>
  </si>
  <si>
    <t>Almacen (Cuarto) Deposito Utensilios</t>
  </si>
  <si>
    <t>Comedor Quin Diaz (Obrero)</t>
  </si>
  <si>
    <t>Total Rancho Quinigua</t>
  </si>
  <si>
    <t>Rancho y Deposito de Cotuí</t>
  </si>
  <si>
    <t>Un rancho de 101 pies de Ancho, techado de cana y zinc sobre la cana,</t>
  </si>
  <si>
    <t>cercado de tabla, sin piso, ensamblado en madera de pino duro, con diez</t>
  </si>
  <si>
    <t>aposentos, con capacidad para dos mil quinientos cujes</t>
  </si>
  <si>
    <t>Un anexo al Rancho, con las mismas especifiaciones de construcción que</t>
  </si>
  <si>
    <t>el rancho, pero con piso de cemento, dividido en una oficina, un cuarto de</t>
  </si>
  <si>
    <t>equipamiento y un deposito………………………………………………………..</t>
  </si>
  <si>
    <t>Rancho No. 2</t>
  </si>
  <si>
    <t>Valor Total del Rancho y Deposito de Cotuí</t>
  </si>
  <si>
    <t>Proyecto Experimental Tabara Arriba</t>
  </si>
  <si>
    <t>Ranhos</t>
  </si>
  <si>
    <t>Total Ranchos Tabara Arriba</t>
  </si>
  <si>
    <t>Ranchos Estacion La Canela</t>
  </si>
  <si>
    <t>Rancho Almacen No. 1</t>
  </si>
  <si>
    <t>Rancho Almacen No. 5</t>
  </si>
  <si>
    <t>Almacen Para Insumos y Equipos Agricolas</t>
  </si>
  <si>
    <t>Total Ranchos y Almacnes La Canela</t>
  </si>
  <si>
    <t>Ranchos de Yamasa</t>
  </si>
  <si>
    <t>Caracteristicas Rancho 1 y 2</t>
  </si>
  <si>
    <t>Rancho tipo cubano, para secado de tabaco para capa, ambiente controlado,</t>
  </si>
  <si>
    <t>madera dura, distribucion de 10 aposentos a 8 pies cada uno,  cimentado a</t>
  </si>
  <si>
    <t>dos y tres lineas de block,  techado en cana y zinc,  puertas  y  ventanas en</t>
  </si>
  <si>
    <t>madera y zinc liso, medidas 31.90 metros  de largo  11.89 metros de ancho</t>
  </si>
  <si>
    <t>y 20 pies de alto.</t>
  </si>
  <si>
    <t>Características Rancho 3 , 4, 6 y 7</t>
  </si>
  <si>
    <t>madera dura, distribucion de 16 aposentos a 6 pies cada uno,  cimentado a</t>
  </si>
  <si>
    <t>dos y tres lineas de block,  techado en cana y zinc, cercado todo en zinc,</t>
  </si>
  <si>
    <t xml:space="preserve">puertas y ventanas en madera y zinc liso, medidas 31.50 metros  de largo  </t>
  </si>
  <si>
    <t>11.89 metros de ancho y 35 pies de alto, medidas alerón en ranchos 3 y 4</t>
  </si>
  <si>
    <t>6.10 metros de ancho y 31.50 de largo</t>
  </si>
  <si>
    <t>Sub-Total</t>
  </si>
  <si>
    <t>Total Almacen y Ranchos de Tabaco</t>
  </si>
  <si>
    <t>VIVEROS E INVERNANDEROS</t>
  </si>
  <si>
    <t>Viveros e Invernaderos Quinigua</t>
  </si>
  <si>
    <t>Invernadero Yamasa</t>
  </si>
  <si>
    <t>Invernadero Hato al Medio</t>
  </si>
  <si>
    <t>Invernadero Mao</t>
  </si>
  <si>
    <t>Total Viveros e Inveranderos</t>
  </si>
  <si>
    <t>Utensilios y Equipos de Cocina</t>
  </si>
  <si>
    <t>Electricos y de Gas</t>
  </si>
  <si>
    <t>Mesas y sillas</t>
  </si>
  <si>
    <t>Total Estacion Central Quinigua</t>
  </si>
  <si>
    <t>EQUIPOS DE INVESTIGACION</t>
  </si>
  <si>
    <t>Equipos Climatico</t>
  </si>
  <si>
    <t>Otros Activos</t>
  </si>
  <si>
    <t>Caballos</t>
  </si>
  <si>
    <t>Libros de Textos</t>
  </si>
  <si>
    <t>Celulares Flotas</t>
  </si>
  <si>
    <t>Stamd Exibidor Proy. Ecoturistico Cumbre</t>
  </si>
  <si>
    <t>Herramientas y Equipos de Taller</t>
  </si>
  <si>
    <t>Equipos Consultorio Medicos</t>
  </si>
  <si>
    <t>Tina para Crianero de Lombirces</t>
  </si>
  <si>
    <t>Otros</t>
  </si>
  <si>
    <t>Total Bienes de Uso</t>
  </si>
  <si>
    <t>Menos Depreciacion Acumulada</t>
  </si>
  <si>
    <t>Neto Bienes de Uso</t>
  </si>
  <si>
    <t>Intangible ( Nota 12)</t>
  </si>
  <si>
    <t>Los Balances de Bienes Intangible están compuesto por un sistema de contabilidad computarizado  y</t>
  </si>
  <si>
    <t>paquetes de computos  y marca de fabrica de cigarros Dominicanos Cigardom registrado en los</t>
  </si>
  <si>
    <t>Estados Unidos y Europa.</t>
  </si>
  <si>
    <t>Sistema de Contabilidad y Computos Marca Fab</t>
  </si>
  <si>
    <t>Menos Amortizacion</t>
  </si>
  <si>
    <t>Total Intangible</t>
  </si>
  <si>
    <t>Otros Activos Fijos</t>
  </si>
  <si>
    <t xml:space="preserve">OTRAS CONSTRUCCIONES </t>
  </si>
  <si>
    <t>Estacion Exp. Quinigua</t>
  </si>
  <si>
    <t>Total de Construcción en Proceso</t>
  </si>
  <si>
    <t>Total Construccion en Proceso</t>
  </si>
  <si>
    <t>Propiedad planta y equipos neto</t>
  </si>
  <si>
    <t>Total Activos No Corrientes</t>
  </si>
  <si>
    <t>Menos Depreciacion acumulada</t>
  </si>
  <si>
    <t>Activos no Corrientes neto</t>
  </si>
  <si>
    <t>Total Activos</t>
  </si>
  <si>
    <t>PASIVOS CORRIENTES</t>
  </si>
  <si>
    <t>Cuentas Por Pagar Suplidores  Corto Plazo (Nota13)</t>
  </si>
  <si>
    <t>Los balances de las cuentas por pagar suplidores al 31 de Diciembre 2022 y  2021 ascienden a</t>
  </si>
  <si>
    <t>RD$25,448,148.00 Y RD$27,410,,006.00  respectivamente</t>
  </si>
  <si>
    <t>Total Cuentas Por Pagar Suplidores</t>
  </si>
  <si>
    <t>Retenciones Por Pagar  (Nota 14)</t>
  </si>
  <si>
    <t>Los Balances de las retenciones por pagar al 31 de Diciembre 2022 y 2021 son de RD$2,408,850.00.</t>
  </si>
  <si>
    <t>y RD$2,408,850.00 respectivamente.</t>
  </si>
  <si>
    <t>Retenciones TSS</t>
  </si>
  <si>
    <t>Retenciones 5% Adquiciones de bienes y ser</t>
  </si>
  <si>
    <t>Otras Retenciones</t>
  </si>
  <si>
    <t>Otras Cuentas Por Pagar (Nota 15)</t>
  </si>
  <si>
    <t>Telefonos Acum por Pagar</t>
  </si>
  <si>
    <t>Viaticos acum x pagar</t>
  </si>
  <si>
    <t>Servicios Acum por Pagar (Agua Luz)</t>
  </si>
  <si>
    <t>Plan de Retiro e Indemnización</t>
  </si>
  <si>
    <t>Otros Gastos Acum. Por Pagar</t>
  </si>
  <si>
    <t>Total de Otras Cuentas Por Pagar</t>
  </si>
  <si>
    <t xml:space="preserve">Prestamos Por Pagar Largo Plazo (Nota 16)                         </t>
  </si>
  <si>
    <t xml:space="preserve">Los balances de documentos por pagar largo plazo al 31 de Diciembre 2022 y 2021 ascienden  </t>
  </si>
  <si>
    <t>RD$ 407,557.00 RD$407,557.00  respectivamente</t>
  </si>
  <si>
    <t>Banco Agricola</t>
  </si>
  <si>
    <t>Total Documento Por Pagar</t>
  </si>
  <si>
    <t>Total General Cuentas por Pagar</t>
  </si>
  <si>
    <t>PATRIMONIO (Nota 17)</t>
  </si>
  <si>
    <t>Los balances del patrimonio al 31 de Diciembre 2022 y 2021 ascienden a RD$ 126,640,463.00</t>
  </si>
  <si>
    <t>128,080,035.00 respectivamente.</t>
  </si>
  <si>
    <t>Patrimonio Institucional</t>
  </si>
  <si>
    <t>Resultados Acum. Años Anteriores</t>
  </si>
  <si>
    <t>Resultados positivos (ahorro) / negativo (desahorro)</t>
  </si>
  <si>
    <t>Total Patrimonio</t>
  </si>
  <si>
    <t>Ingresos (Nota 18)</t>
  </si>
  <si>
    <t>Del Gobierno Central (Nota 18)</t>
  </si>
  <si>
    <t xml:space="preserve">Los ingresos del gobierno central estan compuesto por asignacion presupuestaria, Ingresos  </t>
  </si>
  <si>
    <t xml:space="preserve">del Ministerio de Agricultura y partida extra presupuestaria por RD$ 340,978,714.00 y RD$ </t>
  </si>
  <si>
    <t>363,070,990.00 al 31 de Diciembre 2022 y 2021 respectivamente.</t>
  </si>
  <si>
    <t>Asignacion Presupuestaria</t>
  </si>
  <si>
    <t>Ingresos Por Partida Extra Presupuestario</t>
  </si>
  <si>
    <t>Ingresos con contraprestaciones (Nota 19)</t>
  </si>
  <si>
    <t>Ingresos Ventas</t>
  </si>
  <si>
    <t>Los Otros ingresos son proveniente de ventas de bienes y servicios al 31 Diciembre</t>
  </si>
  <si>
    <t>2022 y 2021 por  RD$6,396,956.00 y  RD$ 1,083,653.00 y   respectivamente.</t>
  </si>
  <si>
    <t>Ingresos por Venta de Agroquimicos</t>
  </si>
  <si>
    <t>Ingresos por Venta de Tabaco</t>
  </si>
  <si>
    <t>Ingresos por Venta de Madera</t>
  </si>
  <si>
    <t>Total  Ingresos por contraprestaciones</t>
  </si>
  <si>
    <t>Otros Ingresos (Nota 20)</t>
  </si>
  <si>
    <t>multas recargos y otros</t>
  </si>
  <si>
    <t>Total otros Ingresos</t>
  </si>
  <si>
    <t>Total de Ingresos</t>
  </si>
  <si>
    <t>Sueldos, Salarios y Beneficios a empleados (Nota 21)</t>
  </si>
  <si>
    <t>Los gastos por concepto de remuneración son de RD$ 271,393,584.00 y RD$ 279,714,373.00</t>
  </si>
  <si>
    <t>Al 31 de Diciembre 2022 y 2021 Respectivamente</t>
  </si>
  <si>
    <t>Sueldos Fijos</t>
  </si>
  <si>
    <t>Sueldos Empleados de Oficina</t>
  </si>
  <si>
    <t>Sueldos  Tramite de Pensión</t>
  </si>
  <si>
    <t>Sueldos Personal de Seguridad</t>
  </si>
  <si>
    <t>Conserjeria y Personal de Mantenimiento y Otros</t>
  </si>
  <si>
    <t>Sueldo Personal Nominal</t>
  </si>
  <si>
    <t>Sueldos por Servicios Especiales</t>
  </si>
  <si>
    <t>Prestaciones Laborales</t>
  </si>
  <si>
    <t>Sueldos a Técnicos y Ayudantes</t>
  </si>
  <si>
    <t>Sueldo No. 13</t>
  </si>
  <si>
    <t>Dieta y Gastos de representacion</t>
  </si>
  <si>
    <t>Bono por Desempeño</t>
  </si>
  <si>
    <t>Icentivo por Rendimiento</t>
  </si>
  <si>
    <t xml:space="preserve">Compensacion </t>
  </si>
  <si>
    <t>Contribuciones al seguro de salud</t>
  </si>
  <si>
    <t>Contribuciones al seguro de pensiones</t>
  </si>
  <si>
    <t>Contribuciones al seguro de riesgo laboral</t>
  </si>
  <si>
    <t>Vacaciones</t>
  </si>
  <si>
    <t>Otros benficios de personal</t>
  </si>
  <si>
    <t>Jornales de Obreros</t>
  </si>
  <si>
    <t>Total Gastos de Personal</t>
  </si>
  <si>
    <t>OTROS GASTOS  (Nota 22)</t>
  </si>
  <si>
    <t>Los gastos por este concepto al 31 de Diciembre 2022 2021 son de RD$ 20,436,225.00 y</t>
  </si>
  <si>
    <t>RD$ 20,029,126.00 Respectivamente.</t>
  </si>
  <si>
    <t>Energía Eléctrica</t>
  </si>
  <si>
    <t>Agua y Basura</t>
  </si>
  <si>
    <t>Teléfonos y Comunicaciones</t>
  </si>
  <si>
    <t>Seguros</t>
  </si>
  <si>
    <t>Conservaciones y Reparaciones Menores</t>
  </si>
  <si>
    <t>Mantenimiento Vehiculo (Gastos del Taller)</t>
  </si>
  <si>
    <t>Honorarios Tecnicos Computacion</t>
  </si>
  <si>
    <t>Publicidad y Propaganda</t>
  </si>
  <si>
    <t>Cuotas y Suscripciones</t>
  </si>
  <si>
    <t>Impresiones y Encuadernaciones</t>
  </si>
  <si>
    <t>Gastos Legales y Judiciales</t>
  </si>
  <si>
    <t>Viáticos  en el Pais</t>
  </si>
  <si>
    <t>ok</t>
  </si>
  <si>
    <t>Transporte</t>
  </si>
  <si>
    <t>Alquileres</t>
  </si>
  <si>
    <t>Otros Servicios No Personales</t>
  </si>
  <si>
    <t>Total de Gastos No Personales</t>
  </si>
  <si>
    <t>MATERIALES Y SUMINISTRO (Nota 22)</t>
  </si>
  <si>
    <t>Los gastos por este concepto al 31 de Diciembre 2022 y 2021 ascendieron a RD$ 24,953,215.00</t>
  </si>
  <si>
    <t>y RD$ 38,512,243.00 Respectivamente .</t>
  </si>
  <si>
    <t>Alimentos y bebidas</t>
  </si>
  <si>
    <t>Medicamnetos Botiquin</t>
  </si>
  <si>
    <t>Textiles y Vestuario</t>
  </si>
  <si>
    <t>Combustibles y Lubricantes</t>
  </si>
  <si>
    <t>Productos y Utiles Varios</t>
  </si>
  <si>
    <t>Productos de Papel Carbon</t>
  </si>
  <si>
    <t>Insumos y Fertizantes y Otros</t>
  </si>
  <si>
    <t>Otros Materiales</t>
  </si>
  <si>
    <t>Total Materiales y Suministro</t>
  </si>
  <si>
    <t>Transferencia y Donaciones Corrientes (Nota 23)</t>
  </si>
  <si>
    <t>Los gastos por este concepto al 31 de Diciembre 2022 y 2021 ascendieron a RD$ 14,545,566.00 y</t>
  </si>
  <si>
    <t>RD$ 4,409,885.00 Respectivamente.</t>
  </si>
  <si>
    <t>Donaciones a Instituciones</t>
  </si>
  <si>
    <t>Becas de Estudios</t>
  </si>
  <si>
    <t xml:space="preserve">Otras transferencia </t>
  </si>
  <si>
    <t>Descuentos Ventas (Insumos y Fertilizantes, Cana, Madera) en especie</t>
  </si>
  <si>
    <t>Donaciones (Insumos,Madera, Cana y Otros) en especie</t>
  </si>
  <si>
    <t>Total Donaciones</t>
  </si>
  <si>
    <t>GASTOS FINANCIEROS (Nota 24)</t>
  </si>
  <si>
    <t>Servicios y Comisiones Bancarias</t>
  </si>
  <si>
    <t>Total Otros Gastos</t>
  </si>
  <si>
    <t>TOTAL GRAL. DE GASTOS</t>
  </si>
  <si>
    <t>Depreciacion y Amortizaciones (Nota 25)</t>
  </si>
  <si>
    <t>Amortizacion</t>
  </si>
  <si>
    <t>Total Depreciacion y Amortizacion</t>
  </si>
  <si>
    <t>Total General de Gastos</t>
  </si>
  <si>
    <t>Ing. Rafael Almonte Guzman</t>
  </si>
  <si>
    <t>Lic.Karina Mercado</t>
  </si>
  <si>
    <t>Lic.Yolanda Fermin</t>
  </si>
  <si>
    <t xml:space="preserve">      Director Ejecutivo                                  </t>
  </si>
  <si>
    <t>Director Adm/Financiero</t>
  </si>
  <si>
    <t>Enc.Contabilidad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</si>
</sst>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&quot; &quot;;&quot;(&quot;#,##0.00&quot;)&quot;;&quot;-&quot;#&quot; &quot;;@&quot; &quot;"/>
    <numFmt numFmtId="165" formatCode="#,##0.00&quot;       &quot;;#,##0.00&quot;       &quot;;&quot;-&quot;#&quot;       &quot;;@&quot; &quot;"/>
    <numFmt numFmtId="166" formatCode="[$RD$-1C0A]&quot; &quot;#,##0.00;[Red]&quot;-&quot;[$RD$-1C0A]&quot; &quot;#,##0.00"/>
    <numFmt numFmtId="167" formatCode="#,##0&quot; &quot;;&quot;(&quot;#,##0&quot;)&quot;;&quot;-&quot;#&quot; &quot;;@&quot; 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1"/>
    </font>
    <font>
      <b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u val="double"/>
      <sz val="12"/>
      <color rgb="FF000000"/>
      <name val="Liberation Serif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7" fillId="0" borderId="0" xfId="2" applyFont="1"/>
    <xf numFmtId="164" fontId="8" fillId="0" borderId="1" xfId="2" applyFont="1" applyBorder="1"/>
    <xf numFmtId="0" fontId="6" fillId="0" borderId="0" xfId="0" applyFont="1" applyAlignment="1">
      <alignment horizontal="left"/>
    </xf>
    <xf numFmtId="164" fontId="6" fillId="0" borderId="0" xfId="2"/>
    <xf numFmtId="164" fontId="8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4" fontId="6" fillId="0" borderId="2" xfId="2" applyBorder="1"/>
    <xf numFmtId="0" fontId="8" fillId="0" borderId="0" xfId="0" applyFont="1"/>
    <xf numFmtId="164" fontId="8" fillId="0" borderId="0" xfId="0" applyNumberFormat="1" applyFont="1"/>
    <xf numFmtId="164" fontId="8" fillId="0" borderId="0" xfId="2" applyFont="1"/>
    <xf numFmtId="4" fontId="0" fillId="0" borderId="0" xfId="0" applyNumberFormat="1"/>
    <xf numFmtId="4" fontId="0" fillId="0" borderId="2" xfId="0" applyNumberFormat="1" applyBorder="1"/>
    <xf numFmtId="0" fontId="3" fillId="0" borderId="0" xfId="0" applyFont="1"/>
    <xf numFmtId="43" fontId="1" fillId="0" borderId="0" xfId="1"/>
    <xf numFmtId="164" fontId="8" fillId="0" borderId="3" xfId="0" applyNumberFormat="1" applyFont="1" applyBorder="1"/>
    <xf numFmtId="164" fontId="5" fillId="0" borderId="0" xfId="2" applyFont="1"/>
    <xf numFmtId="164" fontId="8" fillId="0" borderId="2" xfId="0" applyNumberFormat="1" applyFont="1" applyBorder="1"/>
    <xf numFmtId="164" fontId="3" fillId="0" borderId="0" xfId="2" applyFont="1"/>
    <xf numFmtId="0" fontId="0" fillId="0" borderId="0" xfId="0" applyAlignment="1">
      <alignment horizontal="left"/>
    </xf>
    <xf numFmtId="164" fontId="9" fillId="0" borderId="0" xfId="2" applyFont="1"/>
    <xf numFmtId="164" fontId="7" fillId="0" borderId="2" xfId="2" applyFont="1" applyBorder="1"/>
    <xf numFmtId="164" fontId="8" fillId="0" borderId="2" xfId="2" applyFont="1" applyBorder="1"/>
    <xf numFmtId="164" fontId="5" fillId="0" borderId="0" xfId="0" applyNumberFormat="1" applyFont="1"/>
    <xf numFmtId="164" fontId="5" fillId="0" borderId="3" xfId="0" applyNumberFormat="1" applyFont="1" applyBorder="1"/>
    <xf numFmtId="0" fontId="10" fillId="0" borderId="0" xfId="0" applyFont="1"/>
    <xf numFmtId="166" fontId="3" fillId="0" borderId="0" xfId="0" applyNumberFormat="1" applyFont="1"/>
    <xf numFmtId="3" fontId="6" fillId="0" borderId="0" xfId="2" applyNumberFormat="1"/>
    <xf numFmtId="3" fontId="6" fillId="0" borderId="2" xfId="2" applyNumberFormat="1" applyBorder="1"/>
    <xf numFmtId="4" fontId="6" fillId="0" borderId="0" xfId="2" applyNumberFormat="1"/>
    <xf numFmtId="167" fontId="6" fillId="0" borderId="0" xfId="2" applyNumberFormat="1"/>
    <xf numFmtId="3" fontId="8" fillId="0" borderId="2" xfId="0" applyNumberFormat="1" applyFont="1" applyBorder="1"/>
    <xf numFmtId="3" fontId="0" fillId="0" borderId="0" xfId="0" applyNumberFormat="1"/>
    <xf numFmtId="3" fontId="5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/>
    <xf numFmtId="164" fontId="0" fillId="0" borderId="2" xfId="0" applyNumberFormat="1" applyBorder="1"/>
    <xf numFmtId="4" fontId="5" fillId="0" borderId="0" xfId="0" applyNumberFormat="1" applyFont="1"/>
    <xf numFmtId="164" fontId="7" fillId="0" borderId="0" xfId="0" applyNumberFormat="1" applyFont="1"/>
    <xf numFmtId="164" fontId="7" fillId="0" borderId="2" xfId="0" applyNumberFormat="1" applyFont="1" applyBorder="1"/>
    <xf numFmtId="4" fontId="8" fillId="0" borderId="0" xfId="0" applyNumberFormat="1" applyFont="1"/>
    <xf numFmtId="4" fontId="7" fillId="0" borderId="0" xfId="0" applyNumberFormat="1" applyFont="1"/>
    <xf numFmtId="4" fontId="5" fillId="0" borderId="2" xfId="0" applyNumberFormat="1" applyFont="1" applyBorder="1"/>
    <xf numFmtId="0" fontId="7" fillId="0" borderId="0" xfId="0" applyFont="1" applyAlignment="1">
      <alignment horizontal="left"/>
    </xf>
    <xf numFmtId="0" fontId="12" fillId="0" borderId="0" xfId="0" applyFont="1"/>
    <xf numFmtId="164" fontId="8" fillId="0" borderId="3" xfId="2" applyFont="1" applyBorder="1"/>
    <xf numFmtId="43" fontId="7" fillId="0" borderId="1" xfId="1" applyFont="1" applyFill="1" applyBorder="1" applyAlignment="1"/>
    <xf numFmtId="164" fontId="7" fillId="0" borderId="1" xfId="2" applyFont="1" applyBorder="1"/>
    <xf numFmtId="164" fontId="8" fillId="0" borderId="4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_BuiltIn_Comma" xfId="2" xr:uid="{3A56BA24-94A7-4187-9DE9-C5AB11BA1D9C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fermin\Downloads\Documentos\ESTADOS%20FINANCIEROS%20HACIENDA%202022%20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_Estados_2021"/>
      <sheetName val="Hoja2"/>
      <sheetName val="Estado_Situacion_Financiera"/>
      <sheetName val="Estsdo_Rendimiento_Financiero"/>
      <sheetName val="Estado_Flujo_Efectivo"/>
      <sheetName val="Presupuesto"/>
      <sheetName val="Hoja1"/>
      <sheetName val="Hoja12"/>
      <sheetName val="cuadro_activo"/>
      <sheetName val="Estado_de_Cambio_en_el_Patrimon"/>
    </sheetNames>
    <sheetDataSet>
      <sheetData sheetId="0"/>
      <sheetData sheetId="1"/>
      <sheetData sheetId="2"/>
      <sheetData sheetId="3">
        <row r="33">
          <cell r="D33">
            <v>1439572</v>
          </cell>
          <cell r="F33">
            <v>26766082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1D10-BA52-48F1-8DEB-250AF08961E5}">
  <dimension ref="A1:L567"/>
  <sheetViews>
    <sheetView tabSelected="1" workbookViewId="0">
      <selection activeCell="J546" sqref="J546"/>
    </sheetView>
  </sheetViews>
  <sheetFormatPr baseColWidth="10" defaultRowHeight="15"/>
  <cols>
    <col min="1" max="1" width="10.85546875" customWidth="1"/>
    <col min="2" max="2" width="8.85546875" customWidth="1"/>
    <col min="3" max="3" width="14.7109375" customWidth="1"/>
    <col min="4" max="4" width="6" customWidth="1"/>
    <col min="5" max="5" width="4.42578125" customWidth="1"/>
    <col min="6" max="6" width="8.140625" customWidth="1"/>
    <col min="7" max="7" width="15" customWidth="1"/>
    <col min="8" max="8" width="3.5703125" customWidth="1"/>
    <col min="9" max="9" width="16" customWidth="1"/>
    <col min="10" max="10" width="16.5703125" customWidth="1"/>
    <col min="11" max="11" width="38.85546875" customWidth="1"/>
    <col min="12" max="12" width="18.42578125" customWidth="1"/>
    <col min="13" max="13" width="13" customWidth="1"/>
    <col min="14" max="1023" width="11.7109375" customWidth="1"/>
    <col min="1024" max="1024" width="12.5703125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15.75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5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10" spans="1:9" ht="12.75" customHeight="1">
      <c r="A10" s="3" t="s">
        <v>4</v>
      </c>
    </row>
    <row r="11" spans="1:9" ht="12.75" customHeight="1">
      <c r="A11" s="3"/>
    </row>
    <row r="12" spans="1:9" ht="12.75" customHeight="1">
      <c r="A12" s="3"/>
    </row>
    <row r="13" spans="1:9" ht="12.75" customHeight="1">
      <c r="A13" s="4" t="s">
        <v>5</v>
      </c>
    </row>
    <row r="14" spans="1:9" ht="12.75" customHeight="1">
      <c r="A14" s="5" t="s">
        <v>6</v>
      </c>
    </row>
    <row r="15" spans="1:9" ht="12.75" customHeight="1">
      <c r="A15" s="5" t="s">
        <v>7</v>
      </c>
    </row>
    <row r="16" spans="1:9" ht="12.75" customHeight="1">
      <c r="A16" s="5" t="s">
        <v>8</v>
      </c>
    </row>
    <row r="17" spans="1:11" ht="12.75" customHeight="1">
      <c r="A17" s="5"/>
    </row>
    <row r="18" spans="1:11" ht="12.75" customHeight="1">
      <c r="B18" s="6"/>
      <c r="C18" s="6"/>
      <c r="D18" s="6"/>
      <c r="E18" s="6"/>
      <c r="F18" s="6"/>
      <c r="G18" s="7">
        <v>2022</v>
      </c>
      <c r="I18" s="7">
        <v>2021</v>
      </c>
    </row>
    <row r="19" spans="1:11" ht="12.75" customHeight="1">
      <c r="A19" s="5" t="s">
        <v>9</v>
      </c>
      <c r="B19" s="6"/>
      <c r="C19" s="6"/>
      <c r="D19" s="6"/>
      <c r="E19" s="6"/>
      <c r="F19" s="6"/>
      <c r="G19" s="8">
        <v>87859345</v>
      </c>
      <c r="I19" s="8">
        <v>86462179</v>
      </c>
      <c r="K19" s="8"/>
    </row>
    <row r="20" spans="1:11" ht="12.75" customHeight="1">
      <c r="A20" s="5" t="s">
        <v>10</v>
      </c>
      <c r="B20" s="6"/>
      <c r="C20" s="6"/>
      <c r="D20" s="6"/>
      <c r="E20" s="6"/>
      <c r="F20" s="6"/>
      <c r="G20" s="8">
        <v>54913</v>
      </c>
      <c r="I20" s="8">
        <v>57013</v>
      </c>
      <c r="K20" s="8"/>
    </row>
    <row r="21" spans="1:11" ht="13.5" customHeight="1">
      <c r="A21" s="4" t="s">
        <v>11</v>
      </c>
      <c r="B21" s="6"/>
      <c r="C21" s="6"/>
      <c r="D21" s="6"/>
      <c r="E21" s="6"/>
      <c r="F21" s="6"/>
      <c r="G21" s="9">
        <f>SUM(G19:G20)</f>
        <v>87914258</v>
      </c>
      <c r="I21" s="9">
        <f>SUM(I19:I20)</f>
        <v>86519192</v>
      </c>
    </row>
    <row r="22" spans="1:11" ht="13.5" customHeight="1"/>
    <row r="23" spans="1:11" ht="13.5" customHeight="1"/>
    <row r="24" spans="1:11" ht="13.5" customHeight="1"/>
    <row r="25" spans="1:11" ht="13.5" customHeight="1">
      <c r="A25" s="4" t="s">
        <v>12</v>
      </c>
    </row>
    <row r="26" spans="1:11" ht="13.5" customHeight="1">
      <c r="A26" s="10" t="s">
        <v>13</v>
      </c>
    </row>
    <row r="27" spans="1:11" ht="13.5" customHeight="1">
      <c r="A27" t="s">
        <v>14</v>
      </c>
    </row>
    <row r="28" spans="1:11" ht="12.75" customHeight="1">
      <c r="B28" s="6"/>
      <c r="C28" s="6"/>
      <c r="D28" s="6"/>
      <c r="E28" s="6"/>
      <c r="F28" s="6"/>
    </row>
    <row r="29" spans="1:11" ht="12.75" customHeight="1">
      <c r="A29" s="5" t="s">
        <v>15</v>
      </c>
      <c r="B29" s="6"/>
      <c r="C29" s="6"/>
      <c r="D29" s="6"/>
      <c r="E29" s="6"/>
      <c r="F29" s="6"/>
      <c r="G29" s="11">
        <v>1883019</v>
      </c>
      <c r="I29" s="11">
        <v>1835465</v>
      </c>
    </row>
    <row r="30" spans="1:11" ht="13.5" customHeight="1">
      <c r="A30" s="4" t="s">
        <v>16</v>
      </c>
      <c r="B30" s="6"/>
      <c r="C30" s="6"/>
      <c r="D30" s="6"/>
      <c r="E30" s="6"/>
      <c r="F30" s="6"/>
      <c r="G30" s="12">
        <f>SUM(G26:G29)</f>
        <v>1883019</v>
      </c>
      <c r="I30" s="12">
        <f>SUM(I26:I29)</f>
        <v>1835465</v>
      </c>
      <c r="J30" s="13"/>
    </row>
    <row r="31" spans="1:11" ht="13.5" customHeight="1">
      <c r="A31" s="5"/>
      <c r="B31" s="6"/>
      <c r="C31" s="6"/>
      <c r="D31" s="6"/>
      <c r="E31" s="6"/>
      <c r="F31" s="6"/>
    </row>
    <row r="32" spans="1:11" ht="13.5" customHeight="1">
      <c r="A32" s="5"/>
      <c r="B32" s="6"/>
      <c r="C32" s="6"/>
      <c r="D32" s="6"/>
      <c r="E32" s="6"/>
      <c r="F32" s="6"/>
    </row>
    <row r="33" spans="1:11" ht="13.5" customHeight="1">
      <c r="A33" s="5"/>
      <c r="B33" s="6"/>
      <c r="C33" s="6"/>
      <c r="D33" s="6"/>
      <c r="E33" s="6"/>
      <c r="F33" s="6"/>
    </row>
    <row r="34" spans="1:11" ht="13.5" customHeight="1">
      <c r="A34" s="5"/>
      <c r="B34" s="6"/>
      <c r="C34" s="6"/>
      <c r="D34" s="6"/>
      <c r="E34" s="6"/>
      <c r="F34" s="6"/>
    </row>
    <row r="35" spans="1:11" ht="13.5" customHeight="1">
      <c r="A35" s="5"/>
      <c r="B35" s="6"/>
      <c r="C35" s="6"/>
      <c r="D35" s="6"/>
      <c r="E35" s="6"/>
      <c r="F35" s="6"/>
    </row>
    <row r="36" spans="1:11" ht="13.5" customHeight="1">
      <c r="A36" s="5"/>
      <c r="B36" s="6"/>
      <c r="C36" s="6"/>
      <c r="D36" s="6"/>
      <c r="E36" s="6"/>
      <c r="F36" s="6"/>
    </row>
    <row r="37" spans="1:11" ht="13.5" customHeight="1">
      <c r="A37" s="5"/>
      <c r="B37" s="6"/>
      <c r="C37" s="6"/>
      <c r="D37" s="6"/>
      <c r="E37" s="6"/>
      <c r="F37" s="6"/>
    </row>
    <row r="38" spans="1:11" ht="13.5" customHeight="1">
      <c r="A38" s="5"/>
      <c r="B38" s="6"/>
      <c r="C38" s="6"/>
      <c r="D38" s="6"/>
      <c r="E38" s="6"/>
      <c r="F38" s="6"/>
    </row>
    <row r="39" spans="1:11" ht="13.5" customHeight="1">
      <c r="A39" s="5"/>
      <c r="B39" s="6"/>
      <c r="C39" s="6"/>
      <c r="D39" s="6"/>
      <c r="E39" s="6"/>
      <c r="F39" s="6"/>
    </row>
    <row r="40" spans="1:11" ht="13.5" customHeight="1">
      <c r="A40" s="5"/>
      <c r="B40" s="6"/>
      <c r="C40" s="6"/>
      <c r="D40" s="6"/>
      <c r="E40" s="6"/>
      <c r="F40" s="6"/>
    </row>
    <row r="41" spans="1:11" ht="13.5" customHeight="1">
      <c r="A41" s="5"/>
      <c r="B41" s="6"/>
      <c r="C41" s="6"/>
      <c r="D41" s="6"/>
      <c r="E41" s="6"/>
      <c r="F41" s="6"/>
    </row>
    <row r="42" spans="1:11" ht="12.75" customHeight="1">
      <c r="A42" s="4" t="s">
        <v>17</v>
      </c>
      <c r="B42" s="6"/>
      <c r="C42" s="6"/>
      <c r="D42" s="6"/>
      <c r="E42" s="6"/>
      <c r="F42" s="6"/>
    </row>
    <row r="43" spans="1:11" ht="12.75" customHeight="1">
      <c r="A43" s="4"/>
      <c r="B43" s="6"/>
      <c r="C43" s="6"/>
      <c r="D43" s="6"/>
      <c r="E43" s="6"/>
      <c r="F43" s="6"/>
    </row>
    <row r="44" spans="1:11" ht="12.75" customHeight="1">
      <c r="A44" s="5" t="s">
        <v>18</v>
      </c>
      <c r="B44" s="6"/>
      <c r="C44" s="6"/>
      <c r="D44" s="6"/>
      <c r="E44" s="6"/>
      <c r="F44" s="6"/>
    </row>
    <row r="45" spans="1:11" ht="12.75" customHeight="1">
      <c r="A45" s="5" t="s">
        <v>19</v>
      </c>
      <c r="B45" s="6"/>
      <c r="C45" s="6"/>
      <c r="D45" s="6"/>
      <c r="E45" s="6"/>
      <c r="F45" s="6"/>
      <c r="K45" s="14"/>
    </row>
    <row r="46" spans="1:11" ht="12.75" customHeight="1">
      <c r="A46" s="5"/>
      <c r="B46" s="6"/>
      <c r="C46" s="6"/>
      <c r="D46" s="6"/>
      <c r="E46" s="6"/>
      <c r="F46" s="6"/>
    </row>
    <row r="47" spans="1:11" ht="12.75" customHeight="1">
      <c r="A47" s="4" t="s">
        <v>20</v>
      </c>
      <c r="B47" s="6"/>
      <c r="C47" s="6"/>
      <c r="D47" s="6"/>
      <c r="E47" s="6"/>
      <c r="F47" s="6"/>
    </row>
    <row r="48" spans="1:11" ht="12.75" customHeight="1">
      <c r="A48" s="5" t="s">
        <v>21</v>
      </c>
      <c r="B48" s="6"/>
      <c r="C48" s="6"/>
      <c r="D48" s="6"/>
      <c r="E48" s="6"/>
      <c r="F48" s="6"/>
      <c r="G48" s="8">
        <v>16658552</v>
      </c>
      <c r="I48" s="8">
        <v>15611828</v>
      </c>
    </row>
    <row r="49" spans="1:9" ht="12.75" customHeight="1">
      <c r="A49" s="5" t="s">
        <v>22</v>
      </c>
      <c r="B49" s="6"/>
      <c r="C49" s="6"/>
      <c r="D49" s="6"/>
      <c r="E49" s="6"/>
      <c r="F49" s="6"/>
      <c r="G49" s="11">
        <v>678397</v>
      </c>
      <c r="I49" s="11">
        <v>85497</v>
      </c>
    </row>
    <row r="50" spans="1:9" ht="12.75" customHeight="1">
      <c r="A50" s="5" t="s">
        <v>23</v>
      </c>
      <c r="B50" s="6"/>
      <c r="C50" s="6"/>
      <c r="D50" s="6"/>
      <c r="E50" s="6"/>
      <c r="F50" s="6"/>
      <c r="G50" s="11">
        <v>28516</v>
      </c>
      <c r="I50" s="11">
        <v>28516</v>
      </c>
    </row>
    <row r="51" spans="1:9" ht="12.75" customHeight="1">
      <c r="A51" s="5" t="s">
        <v>24</v>
      </c>
      <c r="B51" s="6"/>
      <c r="C51" s="6"/>
      <c r="D51" s="6"/>
      <c r="E51" s="6"/>
      <c r="F51" s="6"/>
      <c r="G51" s="11">
        <v>855000</v>
      </c>
      <c r="I51" s="11">
        <v>0</v>
      </c>
    </row>
    <row r="52" spans="1:9" ht="12.75" customHeight="1">
      <c r="A52" s="5" t="s">
        <v>25</v>
      </c>
      <c r="B52" s="6"/>
      <c r="C52" s="6"/>
      <c r="D52" s="6"/>
      <c r="E52" s="6"/>
      <c r="F52" s="6"/>
      <c r="G52" s="11">
        <v>0</v>
      </c>
      <c r="I52" s="11">
        <v>17145</v>
      </c>
    </row>
    <row r="53" spans="1:9" ht="12.75" customHeight="1">
      <c r="A53" s="5" t="s">
        <v>26</v>
      </c>
      <c r="B53" s="6"/>
      <c r="C53" s="6"/>
      <c r="D53" s="6"/>
      <c r="E53" s="6"/>
      <c r="F53" s="6"/>
      <c r="G53" s="11">
        <v>548131</v>
      </c>
      <c r="I53" s="11">
        <v>682139</v>
      </c>
    </row>
    <row r="54" spans="1:9" ht="12.75" customHeight="1">
      <c r="A54" s="5" t="s">
        <v>27</v>
      </c>
      <c r="B54" s="6"/>
      <c r="C54" s="6"/>
      <c r="D54" s="6"/>
      <c r="E54" s="6"/>
      <c r="F54" s="6"/>
      <c r="G54" s="11">
        <v>806266</v>
      </c>
      <c r="I54" s="11">
        <v>303988</v>
      </c>
    </row>
    <row r="55" spans="1:9" ht="12.75" customHeight="1">
      <c r="A55" s="5" t="s">
        <v>28</v>
      </c>
      <c r="B55" s="6"/>
      <c r="C55" s="6"/>
      <c r="D55" s="6"/>
      <c r="E55" s="6"/>
      <c r="F55" s="6"/>
      <c r="G55" s="11">
        <v>88899</v>
      </c>
      <c r="I55" s="11">
        <v>88899</v>
      </c>
    </row>
    <row r="56" spans="1:9" ht="12.75" customHeight="1">
      <c r="A56" s="5" t="s">
        <v>29</v>
      </c>
      <c r="B56" s="6"/>
      <c r="C56" s="6"/>
      <c r="D56" s="6"/>
      <c r="E56" s="6"/>
      <c r="F56" s="6"/>
      <c r="G56" s="11">
        <v>2567952</v>
      </c>
      <c r="I56" s="11">
        <v>2585255</v>
      </c>
    </row>
    <row r="57" spans="1:9" ht="12.75" customHeight="1">
      <c r="A57" s="5" t="s">
        <v>30</v>
      </c>
      <c r="B57" s="6"/>
      <c r="C57" s="6"/>
      <c r="D57" s="6"/>
      <c r="E57" s="6"/>
      <c r="F57" s="6"/>
      <c r="G57" s="11">
        <v>3954918</v>
      </c>
      <c r="I57" s="11">
        <v>11869528</v>
      </c>
    </row>
    <row r="58" spans="1:9" ht="12.75" customHeight="1">
      <c r="A58" s="5" t="s">
        <v>31</v>
      </c>
      <c r="B58" s="6"/>
      <c r="C58" s="6"/>
      <c r="D58" s="6"/>
      <c r="E58" s="6"/>
      <c r="F58" s="6"/>
      <c r="G58" s="11">
        <v>57345</v>
      </c>
      <c r="I58" s="11">
        <v>57345</v>
      </c>
    </row>
    <row r="59" spans="1:9" ht="12.75" customHeight="1">
      <c r="A59" s="5" t="s">
        <v>32</v>
      </c>
      <c r="B59" s="6"/>
      <c r="C59" s="6"/>
      <c r="D59" s="6"/>
      <c r="E59" s="6"/>
      <c r="F59" s="6"/>
      <c r="G59" s="11">
        <v>72165</v>
      </c>
      <c r="I59" s="11">
        <v>72165</v>
      </c>
    </row>
    <row r="60" spans="1:9" ht="12.75" customHeight="1">
      <c r="A60" s="5" t="s">
        <v>33</v>
      </c>
      <c r="B60" s="6"/>
      <c r="C60" s="6"/>
      <c r="D60" s="6"/>
      <c r="E60" s="6"/>
      <c r="F60" s="6"/>
      <c r="G60" s="15">
        <v>632959</v>
      </c>
      <c r="I60" s="15">
        <v>725384</v>
      </c>
    </row>
    <row r="61" spans="1:9" ht="12.75" customHeight="1">
      <c r="A61" s="4" t="s">
        <v>34</v>
      </c>
      <c r="B61" s="16"/>
      <c r="C61" s="16"/>
      <c r="D61" s="16"/>
      <c r="E61" s="16"/>
      <c r="F61" s="16"/>
      <c r="G61" s="17">
        <f>SUM(G35:G60)</f>
        <v>26949100</v>
      </c>
      <c r="H61" s="4"/>
      <c r="I61" s="17">
        <f>SUM(I35:I60)</f>
        <v>32127689</v>
      </c>
    </row>
    <row r="62" spans="1:9" ht="12.75" customHeight="1">
      <c r="A62" s="4"/>
      <c r="B62" s="16"/>
      <c r="C62" s="16"/>
      <c r="D62" s="16"/>
      <c r="E62" s="16"/>
      <c r="F62" s="16"/>
      <c r="G62" s="4"/>
      <c r="H62" s="4"/>
      <c r="I62" s="18"/>
    </row>
    <row r="63" spans="1:9" ht="12.75" customHeight="1">
      <c r="A63" s="4"/>
      <c r="B63" s="16"/>
      <c r="C63" s="16"/>
      <c r="D63" s="16"/>
      <c r="E63" s="16"/>
      <c r="F63" s="16"/>
      <c r="G63" s="4"/>
      <c r="H63" s="4"/>
      <c r="I63" s="18"/>
    </row>
    <row r="64" spans="1:9" ht="12.75" customHeight="1">
      <c r="A64" s="4" t="s">
        <v>35</v>
      </c>
      <c r="B64" s="16"/>
      <c r="C64" s="16"/>
      <c r="D64" s="16"/>
      <c r="E64" s="16"/>
      <c r="F64" s="16"/>
      <c r="G64" s="4"/>
      <c r="H64" s="4"/>
      <c r="I64" s="18"/>
    </row>
    <row r="65" spans="1:10" ht="12.75" customHeight="1">
      <c r="A65" s="5" t="s">
        <v>36</v>
      </c>
      <c r="B65" s="6"/>
      <c r="C65" s="6"/>
      <c r="D65" s="6"/>
      <c r="E65" s="6"/>
      <c r="F65" s="6"/>
      <c r="I65" s="8"/>
    </row>
    <row r="66" spans="1:10" ht="12.75" customHeight="1">
      <c r="A66" s="5" t="s">
        <v>37</v>
      </c>
      <c r="B66" s="6"/>
      <c r="C66" s="6"/>
      <c r="D66" s="6"/>
      <c r="E66" s="6"/>
      <c r="F66" s="6"/>
      <c r="I66" s="8"/>
    </row>
    <row r="67" spans="1:10" ht="12.75" customHeight="1">
      <c r="A67" s="5" t="s">
        <v>38</v>
      </c>
      <c r="B67" s="6"/>
      <c r="C67" s="6"/>
      <c r="D67" s="6"/>
      <c r="E67" s="6"/>
      <c r="F67" s="6"/>
      <c r="I67" s="8"/>
    </row>
    <row r="68" spans="1:10" ht="12.75" customHeight="1">
      <c r="A68" s="5"/>
      <c r="B68" s="6"/>
      <c r="C68" s="6"/>
      <c r="D68" s="6"/>
      <c r="E68" s="6"/>
      <c r="F68" s="6"/>
      <c r="I68" s="8"/>
    </row>
    <row r="69" spans="1:10" ht="12.75" customHeight="1">
      <c r="A69" s="5" t="s">
        <v>39</v>
      </c>
      <c r="B69" s="6"/>
      <c r="C69" s="6"/>
      <c r="D69" s="6"/>
      <c r="E69" s="6"/>
      <c r="F69" s="6"/>
      <c r="G69" s="19">
        <v>450217</v>
      </c>
      <c r="I69" s="19">
        <v>425066</v>
      </c>
    </row>
    <row r="70" spans="1:10" ht="12.75" customHeight="1">
      <c r="A70" s="5" t="s">
        <v>40</v>
      </c>
      <c r="B70" s="6"/>
      <c r="C70" s="6"/>
      <c r="D70" s="6"/>
      <c r="E70" s="6"/>
      <c r="F70" s="6"/>
      <c r="G70" s="19">
        <v>233445</v>
      </c>
      <c r="I70" s="19">
        <v>200844</v>
      </c>
    </row>
    <row r="71" spans="1:10" ht="12.75" customHeight="1">
      <c r="A71" s="5" t="s">
        <v>41</v>
      </c>
      <c r="B71" s="6"/>
      <c r="C71" s="6"/>
      <c r="D71" s="6"/>
      <c r="E71" s="6"/>
      <c r="F71" s="6"/>
      <c r="G71" s="19">
        <v>268731</v>
      </c>
      <c r="I71" s="19">
        <v>176900</v>
      </c>
    </row>
    <row r="72" spans="1:10" ht="12.75" customHeight="1">
      <c r="A72" s="5" t="s">
        <v>42</v>
      </c>
      <c r="B72" s="6"/>
      <c r="C72" s="6"/>
      <c r="D72" s="6"/>
      <c r="E72" s="6"/>
      <c r="F72" s="6"/>
      <c r="G72" s="20">
        <v>1774684</v>
      </c>
      <c r="I72" s="20">
        <v>1147660</v>
      </c>
    </row>
    <row r="73" spans="1:10" ht="12.75" customHeight="1">
      <c r="A73" s="4" t="s">
        <v>43</v>
      </c>
      <c r="B73" s="6"/>
      <c r="C73" s="6"/>
      <c r="D73" s="6"/>
      <c r="E73" s="6"/>
      <c r="F73" s="6"/>
      <c r="G73" s="17">
        <f>SUM(G63:G72)</f>
        <v>2727077</v>
      </c>
      <c r="I73" s="17">
        <f>SUM(I63:I72)</f>
        <v>1950470</v>
      </c>
    </row>
    <row r="74" spans="1:10" ht="12.75" customHeight="1">
      <c r="A74" s="4"/>
      <c r="B74" s="6"/>
      <c r="C74" s="6"/>
      <c r="D74" s="6"/>
      <c r="E74" s="6"/>
      <c r="F74" s="6"/>
    </row>
    <row r="75" spans="1:10" ht="12.75" customHeight="1">
      <c r="A75" s="4" t="s">
        <v>44</v>
      </c>
      <c r="B75" s="6"/>
      <c r="C75" s="6"/>
      <c r="D75" s="6"/>
      <c r="E75" s="6"/>
      <c r="F75" s="6"/>
      <c r="G75" s="17">
        <f>+G61+G73</f>
        <v>29676177</v>
      </c>
      <c r="H75" s="21"/>
      <c r="I75" s="17">
        <f>+I61+I73</f>
        <v>34078159</v>
      </c>
      <c r="J75" s="22"/>
    </row>
    <row r="76" spans="1:10" ht="12.75" customHeight="1">
      <c r="A76" s="5"/>
    </row>
    <row r="77" spans="1:10" ht="12.75" customHeight="1">
      <c r="A77" s="4" t="s">
        <v>45</v>
      </c>
    </row>
    <row r="78" spans="1:10" ht="12.75" customHeight="1">
      <c r="A78" s="4"/>
    </row>
    <row r="79" spans="1:10" ht="12.75" customHeight="1">
      <c r="A79" s="5" t="s">
        <v>46</v>
      </c>
      <c r="B79" s="6"/>
      <c r="C79" s="6"/>
      <c r="D79" s="6"/>
      <c r="E79" s="6"/>
      <c r="F79" s="6"/>
      <c r="G79" s="15">
        <f>851948-94661</f>
        <v>757287</v>
      </c>
      <c r="I79" s="15">
        <v>580741</v>
      </c>
    </row>
    <row r="80" spans="1:10" ht="12.75" customHeight="1" thickBot="1">
      <c r="A80" s="4" t="s">
        <v>47</v>
      </c>
      <c r="B80" s="6"/>
      <c r="C80" s="6"/>
      <c r="D80" s="6"/>
      <c r="E80" s="6"/>
      <c r="F80" s="6"/>
      <c r="G80" s="23">
        <f>SUM(G79)</f>
        <v>757287</v>
      </c>
      <c r="I80" s="23">
        <f>SUM(I79)</f>
        <v>580741</v>
      </c>
    </row>
    <row r="81" spans="1:9" ht="12.75" customHeight="1" thickTop="1">
      <c r="A81" s="5"/>
      <c r="G81" s="11"/>
      <c r="I81" s="11"/>
    </row>
    <row r="83" spans="1:9" ht="12.75" customHeight="1">
      <c r="A83" s="21" t="s">
        <v>48</v>
      </c>
      <c r="B83" s="21"/>
      <c r="C83" s="21"/>
      <c r="D83" s="21"/>
      <c r="E83" s="21"/>
      <c r="F83" s="21"/>
      <c r="G83" s="24">
        <f>+G80</f>
        <v>757287</v>
      </c>
      <c r="H83" s="21"/>
      <c r="I83" s="24">
        <f>+I80</f>
        <v>580741</v>
      </c>
    </row>
    <row r="84" spans="1:9" ht="12.75" customHeight="1">
      <c r="A84" s="4"/>
    </row>
    <row r="85" spans="1:9" ht="12.75" customHeight="1">
      <c r="A85" s="4" t="s">
        <v>49</v>
      </c>
      <c r="G85" s="25">
        <f>+G80+G75+G30+G21</f>
        <v>120230741</v>
      </c>
      <c r="I85" s="25">
        <f>+I80+I75+I30+I21</f>
        <v>123013557</v>
      </c>
    </row>
    <row r="86" spans="1:9" ht="12.75" customHeight="1">
      <c r="A86" s="4"/>
    </row>
    <row r="88" spans="1:9" ht="12.75" customHeight="1">
      <c r="A88" s="4" t="s">
        <v>50</v>
      </c>
    </row>
    <row r="90" spans="1:9" ht="12.75" customHeight="1">
      <c r="A90" s="4" t="s">
        <v>51</v>
      </c>
    </row>
    <row r="91" spans="1:9" ht="12.75" customHeight="1">
      <c r="A91" s="4"/>
    </row>
    <row r="92" spans="1:9" ht="12.75" customHeight="1">
      <c r="A92" t="s">
        <v>52</v>
      </c>
    </row>
    <row r="93" spans="1:9" ht="12.75" customHeight="1">
      <c r="A93" t="s">
        <v>53</v>
      </c>
    </row>
    <row r="94" spans="1:9" ht="12.75" customHeight="1">
      <c r="A94" s="4"/>
    </row>
    <row r="95" spans="1:9" ht="12.75" customHeight="1">
      <c r="A95" s="21" t="s">
        <v>54</v>
      </c>
    </row>
    <row r="97" spans="1:9" ht="12.75" customHeight="1">
      <c r="A97" s="4" t="s">
        <v>55</v>
      </c>
      <c r="G97" s="7">
        <v>2022</v>
      </c>
      <c r="I97" s="7">
        <v>2021</v>
      </c>
    </row>
    <row r="98" spans="1:9" ht="12.75" customHeight="1">
      <c r="A98" s="4"/>
    </row>
    <row r="99" spans="1:9" ht="14.25" customHeight="1">
      <c r="A99" t="s">
        <v>56</v>
      </c>
      <c r="F99" s="7"/>
      <c r="G99" s="7"/>
    </row>
    <row r="100" spans="1:9" ht="14.25" customHeight="1">
      <c r="A100" t="s">
        <v>57</v>
      </c>
    </row>
    <row r="101" spans="1:9" ht="14.25" customHeight="1">
      <c r="A101" t="s">
        <v>58</v>
      </c>
    </row>
    <row r="102" spans="1:9" ht="14.25" customHeight="1">
      <c r="A102" t="s">
        <v>59</v>
      </c>
    </row>
    <row r="103" spans="1:9" ht="15" customHeight="1">
      <c r="A103" t="s">
        <v>60</v>
      </c>
      <c r="F103" s="26"/>
      <c r="G103" s="18">
        <v>3095238</v>
      </c>
      <c r="I103" s="18">
        <v>3095238</v>
      </c>
    </row>
    <row r="104" spans="1:9" ht="14.25" customHeight="1"/>
    <row r="105" spans="1:9" ht="14.25" customHeight="1"/>
    <row r="106" spans="1:9" ht="14.25" customHeight="1">
      <c r="A106" t="s">
        <v>61</v>
      </c>
    </row>
    <row r="107" spans="1:9" ht="14.25" customHeight="1">
      <c r="A107" t="s">
        <v>62</v>
      </c>
    </row>
    <row r="108" spans="1:9" ht="14.25" customHeight="1">
      <c r="A108" t="s">
        <v>63</v>
      </c>
    </row>
    <row r="109" spans="1:9" ht="14.25" customHeight="1">
      <c r="A109" t="s">
        <v>64</v>
      </c>
    </row>
    <row r="110" spans="1:9" ht="15" customHeight="1">
      <c r="A110" t="s">
        <v>65</v>
      </c>
      <c r="F110" s="26"/>
      <c r="G110" s="18">
        <v>2457619</v>
      </c>
      <c r="I110" s="18">
        <v>2457619</v>
      </c>
    </row>
    <row r="111" spans="1:9" ht="14.25" customHeight="1"/>
    <row r="112" spans="1:9" ht="15" customHeight="1">
      <c r="A112" s="21" t="s">
        <v>66</v>
      </c>
    </row>
    <row r="113" spans="1:9" ht="15" customHeight="1">
      <c r="A113" s="21"/>
    </row>
    <row r="114" spans="1:9" ht="14.25" customHeight="1">
      <c r="A114" s="27" t="s">
        <v>67</v>
      </c>
      <c r="B114" s="27"/>
      <c r="C114" s="27"/>
      <c r="D114" s="27"/>
      <c r="E114" s="27"/>
      <c r="F114" s="27"/>
    </row>
    <row r="115" spans="1:9" ht="14.25" customHeight="1">
      <c r="A115" s="27" t="s">
        <v>68</v>
      </c>
      <c r="B115" s="27"/>
      <c r="C115" s="27"/>
      <c r="D115" s="27"/>
      <c r="E115" s="27"/>
      <c r="F115" s="27"/>
    </row>
    <row r="116" spans="1:9" ht="14.25" customHeight="1">
      <c r="A116" s="27" t="s">
        <v>69</v>
      </c>
      <c r="B116" s="27"/>
      <c r="C116" s="27"/>
      <c r="D116" s="27"/>
      <c r="E116" s="27"/>
      <c r="F116" s="27"/>
    </row>
    <row r="117" spans="1:9" ht="14.25" customHeight="1">
      <c r="A117" s="27" t="s">
        <v>70</v>
      </c>
      <c r="B117" s="27"/>
      <c r="C117" s="27"/>
      <c r="D117" s="27"/>
      <c r="E117" s="27"/>
      <c r="F117" s="27"/>
    </row>
    <row r="118" spans="1:9" ht="15" customHeight="1">
      <c r="A118" s="27" t="s">
        <v>71</v>
      </c>
      <c r="B118" s="27"/>
      <c r="C118" s="27"/>
      <c r="D118" s="27"/>
      <c r="E118" s="27"/>
      <c r="F118" s="26"/>
      <c r="G118" s="18">
        <v>1547619</v>
      </c>
      <c r="I118" s="18">
        <v>1547619</v>
      </c>
    </row>
    <row r="119" spans="1:9" ht="15" customHeight="1">
      <c r="A119" s="27"/>
      <c r="B119" s="27"/>
      <c r="C119" s="27"/>
      <c r="D119" s="27"/>
      <c r="E119" s="27"/>
      <c r="F119" s="27"/>
      <c r="G119" s="26"/>
    </row>
    <row r="120" spans="1:9" ht="14.25" customHeight="1"/>
    <row r="121" spans="1:9" ht="14.25" customHeight="1">
      <c r="A121" t="s">
        <v>72</v>
      </c>
    </row>
    <row r="122" spans="1:9" ht="14.25" customHeight="1">
      <c r="A122" t="s">
        <v>73</v>
      </c>
    </row>
    <row r="123" spans="1:9" ht="14.25" customHeight="1">
      <c r="A123" t="s">
        <v>74</v>
      </c>
    </row>
    <row r="124" spans="1:9" ht="14.25" customHeight="1">
      <c r="A124" t="s">
        <v>75</v>
      </c>
    </row>
    <row r="125" spans="1:9" ht="15" customHeight="1">
      <c r="A125" t="s">
        <v>76</v>
      </c>
      <c r="F125" s="26"/>
      <c r="G125" s="18">
        <v>306738</v>
      </c>
      <c r="I125" s="18">
        <v>306738</v>
      </c>
    </row>
    <row r="126" spans="1:9" ht="14.25" customHeight="1">
      <c r="G126" s="6"/>
    </row>
    <row r="127" spans="1:9" ht="14.25" customHeight="1">
      <c r="G127" s="6"/>
    </row>
    <row r="128" spans="1:9" ht="14.25" customHeight="1">
      <c r="G128" s="6"/>
    </row>
    <row r="129" spans="1:9" ht="14.25" customHeight="1">
      <c r="G129" s="6"/>
    </row>
    <row r="130" spans="1:9" ht="14.25" customHeight="1">
      <c r="A130" t="s">
        <v>77</v>
      </c>
      <c r="G130" s="6"/>
    </row>
    <row r="131" spans="1:9" ht="14.25" customHeight="1">
      <c r="A131" t="s">
        <v>78</v>
      </c>
      <c r="G131" s="6"/>
    </row>
    <row r="132" spans="1:9" ht="14.25" customHeight="1">
      <c r="A132" t="s">
        <v>79</v>
      </c>
      <c r="G132" s="6"/>
    </row>
    <row r="133" spans="1:9" ht="14.25" customHeight="1">
      <c r="A133" t="s">
        <v>80</v>
      </c>
      <c r="G133" s="6"/>
    </row>
    <row r="134" spans="1:9" ht="15" customHeight="1">
      <c r="A134" t="s">
        <v>81</v>
      </c>
      <c r="F134" s="26"/>
      <c r="G134" s="18">
        <v>256533</v>
      </c>
      <c r="I134" s="18">
        <v>256533</v>
      </c>
    </row>
    <row r="135" spans="1:9" ht="14.25" customHeight="1">
      <c r="G135" s="6"/>
    </row>
    <row r="136" spans="1:9" ht="14.25" customHeight="1">
      <c r="A136" t="s">
        <v>82</v>
      </c>
      <c r="G136" s="6"/>
    </row>
    <row r="137" spans="1:9" ht="14.25" customHeight="1">
      <c r="A137" t="s">
        <v>78</v>
      </c>
      <c r="G137" s="6"/>
    </row>
    <row r="138" spans="1:9" ht="14.25" customHeight="1">
      <c r="A138" t="s">
        <v>79</v>
      </c>
      <c r="G138" s="6"/>
    </row>
    <row r="139" spans="1:9" ht="14.25" customHeight="1">
      <c r="A139" t="s">
        <v>83</v>
      </c>
      <c r="G139" s="6"/>
    </row>
    <row r="140" spans="1:9" ht="15" customHeight="1">
      <c r="A140" t="s">
        <v>84</v>
      </c>
      <c r="F140" s="26"/>
      <c r="G140" s="18">
        <v>1618933</v>
      </c>
      <c r="I140" s="18">
        <v>1618933</v>
      </c>
    </row>
    <row r="141" spans="1:9" ht="14.25" customHeight="1">
      <c r="G141" s="6"/>
    </row>
    <row r="142" spans="1:9" ht="12.75" customHeight="1">
      <c r="A142" s="4" t="s">
        <v>85</v>
      </c>
      <c r="G142" s="6"/>
    </row>
    <row r="143" spans="1:9" ht="12.75" customHeight="1">
      <c r="G143" s="6"/>
    </row>
    <row r="144" spans="1:9" ht="14.25" customHeight="1">
      <c r="A144" t="s">
        <v>86</v>
      </c>
      <c r="G144" s="6"/>
    </row>
    <row r="145" spans="1:10" ht="14.25" customHeight="1">
      <c r="A145" t="s">
        <v>87</v>
      </c>
      <c r="G145" s="6"/>
    </row>
    <row r="146" spans="1:10" ht="14.25" customHeight="1">
      <c r="A146" t="s">
        <v>88</v>
      </c>
      <c r="G146" s="6"/>
    </row>
    <row r="147" spans="1:10" ht="14.25" customHeight="1">
      <c r="A147" t="s">
        <v>89</v>
      </c>
      <c r="G147" s="6"/>
    </row>
    <row r="148" spans="1:10" ht="14.25" customHeight="1">
      <c r="A148" t="s">
        <v>90</v>
      </c>
      <c r="F148" s="24">
        <v>100000</v>
      </c>
      <c r="G148" s="18"/>
      <c r="I148" s="18">
        <v>100000</v>
      </c>
    </row>
    <row r="149" spans="1:10" ht="12.75" customHeight="1">
      <c r="G149" s="6"/>
    </row>
    <row r="150" spans="1:10" ht="15" customHeight="1">
      <c r="A150" s="21" t="s">
        <v>91</v>
      </c>
      <c r="G150" s="28">
        <v>9382680</v>
      </c>
      <c r="I150" s="18">
        <v>9382680</v>
      </c>
      <c r="J150" s="19"/>
    </row>
    <row r="152" spans="1:10" ht="12.75" customHeight="1">
      <c r="A152" s="3" t="s">
        <v>92</v>
      </c>
      <c r="G152" s="7">
        <v>2022</v>
      </c>
      <c r="I152" s="7">
        <v>2021</v>
      </c>
    </row>
    <row r="153" spans="1:10" ht="12.75" customHeight="1">
      <c r="A153" s="4" t="s">
        <v>93</v>
      </c>
    </row>
    <row r="154" spans="1:10" ht="12.75" customHeight="1">
      <c r="A154" s="4" t="s">
        <v>94</v>
      </c>
    </row>
    <row r="155" spans="1:10" ht="12.75" customHeight="1">
      <c r="A155" s="5" t="s">
        <v>95</v>
      </c>
      <c r="B155" s="6"/>
      <c r="C155" s="6"/>
      <c r="D155" s="6"/>
      <c r="E155" s="6"/>
      <c r="G155" s="8">
        <v>28243540</v>
      </c>
      <c r="I155" s="8">
        <v>28243540</v>
      </c>
    </row>
    <row r="156" spans="1:10" ht="12.75" customHeight="1">
      <c r="A156" s="5" t="s">
        <v>96</v>
      </c>
      <c r="B156" s="6"/>
      <c r="C156" s="6"/>
      <c r="D156" s="6"/>
      <c r="E156" s="6"/>
      <c r="G156" s="8">
        <v>2860042</v>
      </c>
      <c r="I156" s="8">
        <v>2860042</v>
      </c>
    </row>
    <row r="157" spans="1:10" ht="12.75" customHeight="1">
      <c r="A157" s="5" t="s">
        <v>97</v>
      </c>
      <c r="B157" s="6"/>
      <c r="C157" s="6"/>
      <c r="D157" s="6"/>
      <c r="E157" s="6"/>
      <c r="G157" s="8">
        <f>2930616+82001</f>
        <v>3012617</v>
      </c>
      <c r="I157" s="8">
        <f>2930616+82001</f>
        <v>3012617</v>
      </c>
    </row>
    <row r="158" spans="1:10" ht="12.75" customHeight="1">
      <c r="A158" s="5" t="s">
        <v>98</v>
      </c>
      <c r="B158" s="6"/>
      <c r="C158" s="6"/>
      <c r="D158" s="6"/>
      <c r="E158" s="6"/>
      <c r="G158" s="8">
        <v>2693587</v>
      </c>
      <c r="I158" s="8">
        <v>2693587</v>
      </c>
    </row>
    <row r="159" spans="1:10" ht="12.75" customHeight="1">
      <c r="A159" s="5" t="s">
        <v>99</v>
      </c>
      <c r="B159" s="6"/>
      <c r="C159" s="6"/>
      <c r="D159" s="6"/>
      <c r="E159" s="6"/>
      <c r="G159" s="8">
        <v>318525</v>
      </c>
      <c r="I159" s="8">
        <v>318525</v>
      </c>
    </row>
    <row r="160" spans="1:10" ht="12.75" customHeight="1">
      <c r="A160" s="4" t="s">
        <v>100</v>
      </c>
      <c r="G160" s="8"/>
      <c r="I160" s="8"/>
    </row>
    <row r="161" spans="1:10" ht="12.75" customHeight="1">
      <c r="A161" s="5" t="s">
        <v>101</v>
      </c>
      <c r="B161" s="6"/>
      <c r="C161" s="6"/>
      <c r="D161" s="6"/>
      <c r="E161" s="6"/>
      <c r="G161" s="8">
        <v>94753</v>
      </c>
      <c r="I161" s="8">
        <v>94753</v>
      </c>
    </row>
    <row r="162" spans="1:10" ht="12.75" customHeight="1">
      <c r="A162" s="5" t="s">
        <v>102</v>
      </c>
      <c r="B162" s="6"/>
      <c r="C162" s="6"/>
      <c r="D162" s="6"/>
      <c r="E162" s="6"/>
      <c r="G162" s="8">
        <v>31240</v>
      </c>
      <c r="I162" s="8">
        <v>31240</v>
      </c>
    </row>
    <row r="163" spans="1:10" ht="12.75" customHeight="1">
      <c r="A163" s="5" t="s">
        <v>103</v>
      </c>
      <c r="B163" s="6"/>
      <c r="C163" s="6"/>
      <c r="D163" s="6"/>
      <c r="E163" s="6"/>
      <c r="G163" s="8">
        <v>48475</v>
      </c>
      <c r="I163" s="8">
        <v>48475</v>
      </c>
    </row>
    <row r="164" spans="1:10" ht="12.75" customHeight="1">
      <c r="A164" s="5" t="s">
        <v>104</v>
      </c>
      <c r="B164" s="6"/>
      <c r="C164" s="6"/>
      <c r="D164" s="6"/>
      <c r="E164" s="6"/>
      <c r="G164" s="8">
        <v>93435</v>
      </c>
      <c r="I164" s="8">
        <v>93435</v>
      </c>
    </row>
    <row r="165" spans="1:10" ht="12.75" customHeight="1">
      <c r="A165" s="5" t="s">
        <v>98</v>
      </c>
      <c r="B165" s="6"/>
      <c r="C165" s="6"/>
      <c r="D165" s="6"/>
      <c r="E165" s="6"/>
      <c r="G165" s="8">
        <v>71855</v>
      </c>
      <c r="I165" s="8">
        <v>71855</v>
      </c>
    </row>
    <row r="166" spans="1:10" ht="12.75" customHeight="1">
      <c r="A166" s="4" t="s">
        <v>105</v>
      </c>
      <c r="G166" s="8"/>
      <c r="I166" s="8"/>
    </row>
    <row r="167" spans="1:10" ht="12.75" customHeight="1">
      <c r="A167" s="5" t="s">
        <v>98</v>
      </c>
      <c r="B167" s="6"/>
      <c r="C167" s="6"/>
      <c r="D167" s="6"/>
      <c r="E167" s="6"/>
      <c r="G167" s="8">
        <v>103900</v>
      </c>
      <c r="I167" s="8">
        <v>103900</v>
      </c>
    </row>
    <row r="168" spans="1:10" ht="12.75" customHeight="1">
      <c r="A168" s="4" t="s">
        <v>106</v>
      </c>
      <c r="G168" s="8"/>
      <c r="I168" s="8"/>
    </row>
    <row r="169" spans="1:10" ht="12.75" customHeight="1">
      <c r="A169" s="5" t="s">
        <v>104</v>
      </c>
      <c r="B169" s="6"/>
      <c r="C169" s="6"/>
      <c r="D169" s="6"/>
      <c r="E169" s="6"/>
      <c r="G169" s="29">
        <v>27802</v>
      </c>
      <c r="I169" s="29">
        <v>27802</v>
      </c>
    </row>
    <row r="170" spans="1:10" ht="12.75" customHeight="1">
      <c r="A170" s="4" t="s">
        <v>107</v>
      </c>
      <c r="G170" s="18">
        <f>SUM(G154:G169)</f>
        <v>37599771</v>
      </c>
      <c r="I170" s="18">
        <f>SUM(I153:I169)</f>
        <v>37599771</v>
      </c>
    </row>
    <row r="171" spans="1:10" ht="12.75" customHeight="1">
      <c r="A171" s="4"/>
      <c r="G171" s="18"/>
      <c r="I171" s="18"/>
    </row>
    <row r="172" spans="1:10" ht="12.75" customHeight="1">
      <c r="A172" s="4"/>
      <c r="G172" s="18"/>
      <c r="I172" s="18"/>
    </row>
    <row r="173" spans="1:10" ht="12.75" customHeight="1">
      <c r="A173" s="4"/>
      <c r="G173" s="18"/>
      <c r="I173" s="18"/>
    </row>
    <row r="174" spans="1:10" ht="12.75" customHeight="1">
      <c r="A174" s="4" t="s">
        <v>108</v>
      </c>
      <c r="G174" s="11"/>
      <c r="I174" s="11"/>
    </row>
    <row r="175" spans="1:10" ht="12.75" customHeight="1">
      <c r="A175" s="5" t="s">
        <v>109</v>
      </c>
      <c r="B175" s="6"/>
      <c r="C175" s="6"/>
      <c r="D175" s="6"/>
      <c r="E175" s="6"/>
      <c r="G175" s="8">
        <f>22402275+6078907-1377405+547344+519048-519048-2796771</f>
        <v>24854350</v>
      </c>
      <c r="I175" s="8">
        <v>20186279</v>
      </c>
      <c r="J175" s="19"/>
    </row>
    <row r="176" spans="1:10" ht="12.75" customHeight="1">
      <c r="A176" s="5" t="s">
        <v>110</v>
      </c>
      <c r="B176" s="6"/>
      <c r="C176" s="6"/>
      <c r="D176" s="6"/>
      <c r="E176" s="6"/>
      <c r="G176" s="8">
        <v>966124</v>
      </c>
      <c r="I176" s="8">
        <v>952549</v>
      </c>
    </row>
    <row r="177" spans="1:11" ht="13.5" customHeight="1">
      <c r="A177" s="5" t="s">
        <v>111</v>
      </c>
      <c r="B177" s="6"/>
      <c r="C177" s="6"/>
      <c r="D177" s="6"/>
      <c r="E177" s="6"/>
      <c r="G177" s="8">
        <f>6904322+1631881</f>
        <v>8536203</v>
      </c>
      <c r="I177" s="8">
        <f>6904322+1631881</f>
        <v>8536203</v>
      </c>
    </row>
    <row r="178" spans="1:11" ht="14.25" customHeight="1">
      <c r="A178" s="5" t="s">
        <v>100</v>
      </c>
      <c r="B178" s="6"/>
      <c r="C178" s="6"/>
      <c r="D178" s="6"/>
      <c r="E178" s="6"/>
      <c r="G178" s="8">
        <v>283333</v>
      </c>
      <c r="I178" s="8">
        <v>283333</v>
      </c>
    </row>
    <row r="179" spans="1:11" ht="13.5" customHeight="1">
      <c r="A179" s="4" t="s">
        <v>112</v>
      </c>
      <c r="G179" s="9">
        <f>SUM(G175:G178)</f>
        <v>34640010</v>
      </c>
      <c r="I179" s="9">
        <f>SUM(I175:I178)</f>
        <v>29958364</v>
      </c>
      <c r="J179" s="19"/>
      <c r="K179" s="19"/>
    </row>
    <row r="180" spans="1:11" ht="13.5" customHeight="1">
      <c r="A180" s="4"/>
    </row>
    <row r="181" spans="1:11" ht="13.5" customHeight="1">
      <c r="A181" s="4" t="s">
        <v>113</v>
      </c>
    </row>
    <row r="182" spans="1:11" ht="12.75" customHeight="1">
      <c r="A182" s="4" t="s">
        <v>114</v>
      </c>
      <c r="B182" s="6"/>
      <c r="C182" s="6"/>
      <c r="D182" s="6"/>
      <c r="E182" s="6"/>
    </row>
    <row r="183" spans="1:11" ht="12.75" customHeight="1">
      <c r="A183" s="5" t="s">
        <v>115</v>
      </c>
      <c r="B183" s="6"/>
      <c r="C183" s="6"/>
      <c r="D183" s="6"/>
      <c r="E183" s="6"/>
      <c r="G183" s="8">
        <v>23090159</v>
      </c>
      <c r="I183" s="8">
        <v>23090159</v>
      </c>
      <c r="K183" s="19"/>
    </row>
    <row r="184" spans="1:11" ht="12.75" customHeight="1">
      <c r="A184" s="5" t="s">
        <v>116</v>
      </c>
      <c r="B184" s="6"/>
      <c r="C184" s="6"/>
      <c r="D184" s="6"/>
      <c r="E184" s="6"/>
      <c r="G184" s="8">
        <v>1106561</v>
      </c>
      <c r="I184" s="8">
        <v>1106561</v>
      </c>
    </row>
    <row r="185" spans="1:11" ht="12.75" customHeight="1">
      <c r="A185" s="5" t="s">
        <v>117</v>
      </c>
      <c r="B185" s="6"/>
      <c r="C185" s="6"/>
      <c r="D185" s="6"/>
      <c r="E185" s="6"/>
      <c r="G185" s="8">
        <v>15000</v>
      </c>
      <c r="I185" s="8">
        <v>15000</v>
      </c>
    </row>
    <row r="186" spans="1:11" ht="12.75" customHeight="1">
      <c r="A186" s="5" t="s">
        <v>118</v>
      </c>
      <c r="B186" s="6"/>
      <c r="C186" s="6"/>
      <c r="D186" s="6"/>
      <c r="E186" s="6"/>
      <c r="G186" s="8">
        <v>9700633</v>
      </c>
      <c r="I186" s="8">
        <v>9700633</v>
      </c>
    </row>
    <row r="187" spans="1:11" ht="12.75" customHeight="1">
      <c r="A187" s="5" t="s">
        <v>119</v>
      </c>
      <c r="B187" s="6"/>
      <c r="C187" s="6"/>
      <c r="D187" s="6"/>
      <c r="E187" s="6"/>
      <c r="G187" s="8">
        <v>4024750</v>
      </c>
      <c r="I187" s="8">
        <v>4024750</v>
      </c>
    </row>
    <row r="188" spans="1:11" ht="12.75" customHeight="1">
      <c r="A188" s="5" t="s">
        <v>120</v>
      </c>
      <c r="B188" s="6"/>
      <c r="C188" s="6"/>
      <c r="D188" s="6"/>
      <c r="E188" s="6"/>
      <c r="G188" s="8">
        <v>252882</v>
      </c>
      <c r="I188" s="8">
        <v>255164</v>
      </c>
    </row>
    <row r="189" spans="1:11" ht="12.75" customHeight="1">
      <c r="A189" s="5" t="s">
        <v>121</v>
      </c>
      <c r="B189" s="6"/>
      <c r="C189" s="6"/>
      <c r="D189" s="6"/>
      <c r="E189" s="6"/>
      <c r="G189" s="8">
        <v>1422001</v>
      </c>
      <c r="I189" s="8">
        <v>301664</v>
      </c>
    </row>
    <row r="190" spans="1:11" ht="12.75" customHeight="1">
      <c r="A190" s="4" t="s">
        <v>122</v>
      </c>
      <c r="B190" s="6"/>
      <c r="C190" s="6"/>
      <c r="D190" s="6"/>
      <c r="E190" s="6"/>
      <c r="G190" s="8"/>
      <c r="I190" s="8"/>
    </row>
    <row r="191" spans="1:11" ht="12.75" customHeight="1">
      <c r="A191" s="5" t="s">
        <v>121</v>
      </c>
      <c r="B191" s="6"/>
      <c r="C191" s="6"/>
      <c r="D191" s="6"/>
      <c r="E191" s="6"/>
      <c r="G191" s="8">
        <v>2882554</v>
      </c>
      <c r="I191" s="8">
        <v>2882554</v>
      </c>
    </row>
    <row r="192" spans="1:11" ht="12.75" customHeight="1">
      <c r="A192" s="5" t="s">
        <v>120</v>
      </c>
      <c r="B192" s="6"/>
      <c r="C192" s="6"/>
      <c r="D192" s="6"/>
      <c r="E192" s="6"/>
      <c r="G192" s="8">
        <f>500750-62824</f>
        <v>437926</v>
      </c>
      <c r="I192" s="8">
        <f>500750-62824</f>
        <v>437926</v>
      </c>
    </row>
    <row r="193" spans="1:10" ht="12.75" customHeight="1">
      <c r="A193" s="4" t="s">
        <v>123</v>
      </c>
      <c r="B193" s="6"/>
      <c r="C193" s="6"/>
      <c r="D193" s="6"/>
      <c r="E193" s="6"/>
      <c r="G193" s="8"/>
      <c r="I193" s="8"/>
    </row>
    <row r="194" spans="1:10" ht="12.75" customHeight="1">
      <c r="A194" s="5" t="s">
        <v>120</v>
      </c>
      <c r="B194" s="6"/>
      <c r="C194" s="6"/>
      <c r="D194" s="6"/>
      <c r="E194" s="6"/>
      <c r="G194" s="8">
        <v>24500</v>
      </c>
      <c r="I194" s="8">
        <v>24500</v>
      </c>
    </row>
    <row r="195" spans="1:10" ht="12.75" customHeight="1">
      <c r="A195" s="5" t="s">
        <v>121</v>
      </c>
      <c r="B195" s="6"/>
      <c r="C195" s="6"/>
      <c r="D195" s="6"/>
      <c r="E195" s="6"/>
      <c r="G195" s="8">
        <v>444220</v>
      </c>
      <c r="I195" s="8">
        <v>444220</v>
      </c>
    </row>
    <row r="196" spans="1:10" ht="13.5" customHeight="1">
      <c r="A196" s="4" t="s">
        <v>124</v>
      </c>
      <c r="B196" s="4"/>
      <c r="C196" s="4"/>
      <c r="D196" s="4"/>
      <c r="G196" s="12">
        <f>SUM(G183:G195)</f>
        <v>43401186</v>
      </c>
      <c r="I196" s="12">
        <f>SUM(I183:I195)</f>
        <v>42283131</v>
      </c>
      <c r="J196" s="19"/>
    </row>
    <row r="197" spans="1:10" ht="13.5" customHeight="1">
      <c r="A197" s="4"/>
      <c r="B197" s="4"/>
      <c r="C197" s="4"/>
      <c r="D197" s="4"/>
    </row>
    <row r="198" spans="1:10" ht="13.5" customHeight="1">
      <c r="A198" s="3" t="s">
        <v>125</v>
      </c>
    </row>
    <row r="199" spans="1:10" ht="12.75" customHeight="1">
      <c r="A199" s="5" t="s">
        <v>126</v>
      </c>
      <c r="B199" s="6"/>
      <c r="C199" s="6"/>
      <c r="D199" s="6"/>
      <c r="E199" s="6"/>
      <c r="G199" s="8">
        <v>1503381</v>
      </c>
      <c r="I199" s="8">
        <v>1503381</v>
      </c>
    </row>
    <row r="200" spans="1:10" ht="12.75" customHeight="1">
      <c r="A200" s="5" t="s">
        <v>127</v>
      </c>
      <c r="B200" s="6"/>
      <c r="C200" s="6"/>
      <c r="D200" s="6"/>
      <c r="E200" s="6"/>
      <c r="G200" s="8">
        <v>35051</v>
      </c>
      <c r="I200" s="8">
        <v>35051</v>
      </c>
    </row>
    <row r="201" spans="1:10" ht="12.75" customHeight="1">
      <c r="A201" s="5" t="s">
        <v>128</v>
      </c>
      <c r="B201" s="6"/>
      <c r="C201" s="6"/>
      <c r="D201" s="6"/>
      <c r="E201" s="6"/>
      <c r="G201" s="8">
        <v>12675</v>
      </c>
      <c r="I201" s="8">
        <v>12675</v>
      </c>
    </row>
    <row r="202" spans="1:10" ht="12.75" customHeight="1">
      <c r="A202" s="5" t="s">
        <v>129</v>
      </c>
      <c r="B202" s="6"/>
      <c r="C202" s="6"/>
      <c r="D202" s="6"/>
      <c r="E202" s="6"/>
      <c r="G202" s="8">
        <v>72331</v>
      </c>
      <c r="I202" s="8">
        <v>72331</v>
      </c>
    </row>
    <row r="203" spans="1:10" ht="13.5" customHeight="1">
      <c r="A203" s="4" t="s">
        <v>130</v>
      </c>
      <c r="G203" s="12">
        <f>SUM(G199:G202)</f>
        <v>1623438</v>
      </c>
      <c r="I203" s="12">
        <f>SUM(I199:I202)</f>
        <v>1623438</v>
      </c>
    </row>
    <row r="204" spans="1:10" ht="13.5" customHeight="1">
      <c r="A204" s="4"/>
    </row>
    <row r="205" spans="1:10" ht="12.75" customHeight="1">
      <c r="A205" s="4" t="s">
        <v>131</v>
      </c>
    </row>
    <row r="206" spans="1:10" ht="12.75" customHeight="1">
      <c r="A206" s="4" t="s">
        <v>132</v>
      </c>
    </row>
    <row r="207" spans="1:10" ht="12.75" customHeight="1">
      <c r="A207" s="6" t="s">
        <v>133</v>
      </c>
      <c r="B207" s="6"/>
      <c r="C207" s="6"/>
      <c r="D207" s="6"/>
      <c r="E207" s="6"/>
      <c r="G207" s="8">
        <v>748248</v>
      </c>
      <c r="I207" s="8">
        <v>748248</v>
      </c>
    </row>
    <row r="208" spans="1:10" ht="12.75" customHeight="1">
      <c r="A208" s="6" t="s">
        <v>134</v>
      </c>
      <c r="B208" s="6"/>
      <c r="C208" s="6"/>
      <c r="D208" s="6"/>
      <c r="E208" s="6"/>
      <c r="G208" s="8">
        <v>80000</v>
      </c>
      <c r="I208" s="8">
        <v>80000</v>
      </c>
    </row>
    <row r="209" spans="1:9" ht="12.75" customHeight="1">
      <c r="A209" s="6" t="s">
        <v>135</v>
      </c>
      <c r="B209" s="6"/>
      <c r="C209" s="6"/>
      <c r="D209" s="6"/>
      <c r="E209" s="6"/>
      <c r="G209" s="8">
        <v>100592</v>
      </c>
      <c r="I209" s="8">
        <v>100592</v>
      </c>
    </row>
    <row r="210" spans="1:9" ht="12.75" customHeight="1">
      <c r="A210" s="6" t="s">
        <v>136</v>
      </c>
      <c r="B210" s="6"/>
      <c r="C210" s="6"/>
      <c r="D210" s="6"/>
      <c r="E210" s="6"/>
      <c r="G210" s="8">
        <v>1197659</v>
      </c>
      <c r="I210" s="8">
        <v>1197659</v>
      </c>
    </row>
    <row r="211" spans="1:9" ht="12.75" customHeight="1">
      <c r="A211" s="6" t="s">
        <v>137</v>
      </c>
      <c r="B211" s="6"/>
      <c r="C211" s="6"/>
      <c r="D211" s="6"/>
      <c r="E211" s="6"/>
      <c r="G211" s="8">
        <v>117960</v>
      </c>
      <c r="I211" s="8">
        <v>117960</v>
      </c>
    </row>
    <row r="212" spans="1:9" ht="12.75" customHeight="1">
      <c r="A212" s="6" t="s">
        <v>138</v>
      </c>
      <c r="B212" s="6"/>
      <c r="C212" s="6"/>
      <c r="D212" s="6"/>
      <c r="E212" s="6"/>
      <c r="G212" s="8">
        <v>18072</v>
      </c>
      <c r="I212" s="8">
        <v>18072</v>
      </c>
    </row>
    <row r="213" spans="1:9" ht="12.75" customHeight="1">
      <c r="A213" s="6" t="s">
        <v>139</v>
      </c>
      <c r="B213" s="6"/>
      <c r="C213" s="6"/>
      <c r="D213" s="6"/>
      <c r="E213" s="6"/>
      <c r="G213" s="8">
        <v>80000</v>
      </c>
      <c r="I213" s="8">
        <v>80000</v>
      </c>
    </row>
    <row r="214" spans="1:9" ht="12.75" customHeight="1">
      <c r="A214" s="6" t="s">
        <v>140</v>
      </c>
      <c r="B214" s="6"/>
      <c r="C214" s="6"/>
      <c r="D214" s="6"/>
      <c r="E214" s="6"/>
      <c r="G214" s="8">
        <v>122050</v>
      </c>
      <c r="I214" s="8">
        <v>122050</v>
      </c>
    </row>
    <row r="215" spans="1:9" ht="12.75" customHeight="1">
      <c r="A215" s="6" t="s">
        <v>141</v>
      </c>
      <c r="B215" s="6"/>
      <c r="C215" s="6"/>
      <c r="D215" s="6"/>
      <c r="E215" s="6"/>
      <c r="G215" s="8">
        <v>17817</v>
      </c>
      <c r="I215" s="8">
        <v>17817</v>
      </c>
    </row>
    <row r="216" spans="1:9" ht="12.75" customHeight="1">
      <c r="A216" s="6" t="s">
        <v>142</v>
      </c>
      <c r="B216" s="6"/>
      <c r="C216" s="6"/>
      <c r="D216" s="6"/>
      <c r="E216" s="6"/>
      <c r="G216" s="8">
        <v>60138</v>
      </c>
      <c r="I216" s="8">
        <v>60138</v>
      </c>
    </row>
    <row r="217" spans="1:9" ht="12.75" customHeight="1">
      <c r="A217" s="6" t="s">
        <v>143</v>
      </c>
      <c r="B217" s="6"/>
      <c r="C217" s="6"/>
      <c r="D217" s="6"/>
      <c r="E217" s="6"/>
      <c r="G217" s="8">
        <v>24258</v>
      </c>
      <c r="I217" s="8">
        <v>24258</v>
      </c>
    </row>
    <row r="218" spans="1:9" ht="12.75" customHeight="1">
      <c r="A218" s="6" t="s">
        <v>144</v>
      </c>
      <c r="B218" s="6"/>
      <c r="C218" s="6"/>
      <c r="D218" s="6"/>
      <c r="E218" s="6"/>
      <c r="G218" s="8">
        <v>200454</v>
      </c>
      <c r="I218" s="8">
        <v>200454</v>
      </c>
    </row>
    <row r="219" spans="1:9" ht="12.75" customHeight="1">
      <c r="A219" s="6" t="s">
        <v>145</v>
      </c>
      <c r="B219" s="6"/>
      <c r="C219" s="6"/>
      <c r="D219" s="6"/>
      <c r="E219" s="6"/>
      <c r="G219" s="29">
        <v>11535</v>
      </c>
      <c r="I219" s="29">
        <v>11535</v>
      </c>
    </row>
    <row r="220" spans="1:9" ht="12.75" customHeight="1">
      <c r="A220" s="16" t="s">
        <v>146</v>
      </c>
      <c r="B220" s="6"/>
      <c r="C220" s="6"/>
      <c r="D220" s="6"/>
      <c r="E220" s="6"/>
      <c r="G220" s="17">
        <f>SUM(G207:G219)</f>
        <v>2778783</v>
      </c>
      <c r="I220" s="17">
        <f>SUM(I207:I219)</f>
        <v>2778783</v>
      </c>
    </row>
    <row r="221" spans="1:9" ht="12.75" customHeight="1">
      <c r="A221" s="5"/>
    </row>
    <row r="222" spans="1:9" ht="12.75" customHeight="1">
      <c r="A222" s="4" t="s">
        <v>147</v>
      </c>
    </row>
    <row r="224" spans="1:9" ht="12.75" customHeight="1">
      <c r="A224" s="6" t="s">
        <v>148</v>
      </c>
    </row>
    <row r="225" spans="1:9" ht="12.75" customHeight="1">
      <c r="A225" s="6" t="s">
        <v>149</v>
      </c>
    </row>
    <row r="226" spans="1:9" ht="12.75" customHeight="1">
      <c r="A226" s="6" t="s">
        <v>150</v>
      </c>
    </row>
    <row r="227" spans="1:9" ht="12.75" customHeight="1">
      <c r="A227" s="6"/>
    </row>
    <row r="228" spans="1:9" ht="12.75" customHeight="1">
      <c r="A228" s="6" t="s">
        <v>151</v>
      </c>
    </row>
    <row r="229" spans="1:9" ht="12.75" customHeight="1">
      <c r="A229" s="6" t="s">
        <v>152</v>
      </c>
    </row>
    <row r="230" spans="1:9" ht="12.75" customHeight="1">
      <c r="A230" s="6" t="s">
        <v>153</v>
      </c>
      <c r="G230" s="8">
        <v>653969</v>
      </c>
      <c r="I230" s="8">
        <v>653969</v>
      </c>
    </row>
    <row r="231" spans="1:9" ht="12.75" customHeight="1">
      <c r="A231" s="6"/>
      <c r="G231" s="8"/>
      <c r="I231" s="8"/>
    </row>
    <row r="233" spans="1:9" ht="12.75" customHeight="1">
      <c r="A233" s="6"/>
    </row>
    <row r="234" spans="1:9" ht="12.75" customHeight="1">
      <c r="A234" s="6" t="s">
        <v>154</v>
      </c>
      <c r="G234" s="29">
        <f>308770</f>
        <v>308770</v>
      </c>
      <c r="I234" s="29">
        <f>308770</f>
        <v>308770</v>
      </c>
    </row>
    <row r="235" spans="1:9" ht="15" customHeight="1">
      <c r="B235" s="4" t="s">
        <v>155</v>
      </c>
      <c r="C235" s="4"/>
      <c r="D235" s="4"/>
      <c r="E235" s="4"/>
      <c r="G235" s="30">
        <f>+G234+G230</f>
        <v>962739</v>
      </c>
      <c r="I235" s="30">
        <f>+I234+I230</f>
        <v>962739</v>
      </c>
    </row>
    <row r="236" spans="1:9" ht="15" customHeight="1">
      <c r="B236" s="4"/>
      <c r="C236" s="4"/>
      <c r="D236" s="4"/>
      <c r="E236" s="4"/>
      <c r="G236" s="18"/>
      <c r="I236" s="18"/>
    </row>
    <row r="237" spans="1:9" ht="15" customHeight="1">
      <c r="A237" s="6" t="s">
        <v>156</v>
      </c>
      <c r="G237" s="8"/>
      <c r="I237" s="8"/>
    </row>
    <row r="238" spans="1:9" ht="15" customHeight="1">
      <c r="A238" s="6" t="s">
        <v>157</v>
      </c>
      <c r="G238" s="8">
        <v>240000</v>
      </c>
      <c r="I238" s="8">
        <v>240000</v>
      </c>
    </row>
    <row r="239" spans="1:9" ht="15" customHeight="1">
      <c r="A239" s="6"/>
      <c r="G239" s="8"/>
      <c r="I239" s="8"/>
    </row>
    <row r="240" spans="1:9" ht="15" customHeight="1">
      <c r="A240" s="16" t="s">
        <v>158</v>
      </c>
      <c r="B240" s="21"/>
      <c r="C240" s="21"/>
      <c r="D240" s="21"/>
      <c r="E240" s="21"/>
      <c r="F240" s="21"/>
      <c r="G240" s="18">
        <f>+G238</f>
        <v>240000</v>
      </c>
      <c r="I240" s="18">
        <f>+I238</f>
        <v>240000</v>
      </c>
    </row>
    <row r="241" spans="1:9" ht="15" customHeight="1">
      <c r="A241" s="6"/>
      <c r="G241" s="8"/>
      <c r="I241" s="8"/>
    </row>
    <row r="242" spans="1:9" ht="13.5" customHeight="1">
      <c r="A242" s="6"/>
      <c r="G242" s="8"/>
      <c r="I242" s="8"/>
    </row>
    <row r="243" spans="1:9" ht="12.75" customHeight="1">
      <c r="A243" s="4" t="s">
        <v>159</v>
      </c>
    </row>
    <row r="244" spans="1:9" ht="12.75" customHeight="1">
      <c r="A244" s="6" t="s">
        <v>160</v>
      </c>
      <c r="B244" s="6"/>
      <c r="C244" s="6"/>
      <c r="D244" s="6"/>
      <c r="E244" s="6"/>
      <c r="F244" s="6"/>
      <c r="G244" s="8">
        <v>45860</v>
      </c>
      <c r="I244" s="8">
        <v>45860</v>
      </c>
    </row>
    <row r="245" spans="1:9" ht="12.75" customHeight="1">
      <c r="A245" s="6" t="s">
        <v>161</v>
      </c>
      <c r="B245" s="6"/>
      <c r="C245" s="6"/>
      <c r="D245" s="6"/>
      <c r="E245" s="6"/>
      <c r="F245" s="6"/>
      <c r="G245" s="8">
        <v>27000</v>
      </c>
      <c r="I245" s="8">
        <v>27000</v>
      </c>
    </row>
    <row r="246" spans="1:9" ht="12.75" customHeight="1">
      <c r="A246" s="6" t="s">
        <v>162</v>
      </c>
      <c r="B246" s="6"/>
      <c r="C246" s="6"/>
      <c r="D246" s="6"/>
      <c r="E246" s="6"/>
      <c r="F246" s="6"/>
      <c r="G246" s="8">
        <v>10640</v>
      </c>
      <c r="I246" s="8">
        <v>10640</v>
      </c>
    </row>
    <row r="247" spans="1:9" ht="13.5" customHeight="1">
      <c r="A247" s="6"/>
      <c r="B247" s="16" t="s">
        <v>163</v>
      </c>
      <c r="C247" s="6"/>
      <c r="D247" s="6"/>
      <c r="E247" s="6"/>
      <c r="F247" s="6"/>
      <c r="G247" s="12">
        <f>SUM(G244:G246)</f>
        <v>83500</v>
      </c>
      <c r="I247" s="12">
        <f>SUM(I244:I246)</f>
        <v>83500</v>
      </c>
    </row>
    <row r="248" spans="1:9" ht="13.5" customHeight="1"/>
    <row r="249" spans="1:9" ht="12.75" customHeight="1">
      <c r="A249" s="4"/>
      <c r="B249" s="4"/>
      <c r="C249" s="4"/>
      <c r="D249" s="4"/>
      <c r="E249" s="4"/>
      <c r="F249" s="31"/>
      <c r="G249" s="31"/>
    </row>
    <row r="250" spans="1:9" ht="12.75" customHeight="1">
      <c r="A250" s="4" t="s">
        <v>164</v>
      </c>
    </row>
    <row r="251" spans="1:9" ht="12.75" customHeight="1">
      <c r="A251" s="3" t="s">
        <v>165</v>
      </c>
    </row>
    <row r="252" spans="1:9" ht="12.75" customHeight="1">
      <c r="A252" s="6" t="s">
        <v>166</v>
      </c>
    </row>
    <row r="253" spans="1:9" ht="12.75" customHeight="1">
      <c r="A253" s="6" t="s">
        <v>167</v>
      </c>
    </row>
    <row r="254" spans="1:9" ht="12.75" customHeight="1">
      <c r="A254" s="6" t="s">
        <v>168</v>
      </c>
    </row>
    <row r="255" spans="1:9" ht="12.75" customHeight="1">
      <c r="A255" s="6" t="s">
        <v>169</v>
      </c>
    </row>
    <row r="256" spans="1:9" ht="12.75" customHeight="1">
      <c r="A256" s="6" t="s">
        <v>170</v>
      </c>
    </row>
    <row r="257" spans="1:10" ht="14.25" customHeight="1"/>
    <row r="258" spans="1:10" ht="15" customHeight="1">
      <c r="A258" s="21" t="s">
        <v>171</v>
      </c>
    </row>
    <row r="259" spans="1:10" ht="12.75" customHeight="1">
      <c r="A259" s="6" t="s">
        <v>166</v>
      </c>
    </row>
    <row r="260" spans="1:10" ht="12.75" customHeight="1">
      <c r="A260" s="6" t="s">
        <v>172</v>
      </c>
    </row>
    <row r="261" spans="1:10" ht="12.75" customHeight="1">
      <c r="A261" s="6" t="s">
        <v>173</v>
      </c>
    </row>
    <row r="262" spans="1:10" ht="12.75" customHeight="1">
      <c r="A262" s="6" t="s">
        <v>174</v>
      </c>
    </row>
    <row r="263" spans="1:10" ht="12.75" customHeight="1">
      <c r="A263" s="6" t="s">
        <v>175</v>
      </c>
    </row>
    <row r="264" spans="1:10" ht="12.75" customHeight="1">
      <c r="A264" s="6" t="s">
        <v>176</v>
      </c>
    </row>
    <row r="265" spans="1:10" ht="14.25" customHeight="1">
      <c r="A265" t="s">
        <v>177</v>
      </c>
      <c r="G265" s="8">
        <v>3528720</v>
      </c>
      <c r="I265" s="8">
        <v>3528720</v>
      </c>
    </row>
    <row r="266" spans="1:10" ht="13.5" customHeight="1">
      <c r="A266" s="4" t="s">
        <v>178</v>
      </c>
      <c r="B266" s="4"/>
      <c r="C266" s="4"/>
      <c r="D266" s="4"/>
      <c r="E266" s="4"/>
      <c r="G266" s="25">
        <f>+G265+G235+G220+G247+G240</f>
        <v>7593742</v>
      </c>
      <c r="I266" s="25">
        <f>+I265+I235+I220+I247+I240</f>
        <v>7593742</v>
      </c>
      <c r="J266" s="19"/>
    </row>
    <row r="267" spans="1:10" ht="13.5" customHeight="1">
      <c r="A267" s="4"/>
      <c r="B267" s="4"/>
      <c r="C267" s="4"/>
      <c r="D267" s="4"/>
      <c r="E267" s="4"/>
    </row>
    <row r="268" spans="1:10" ht="12.75" customHeight="1">
      <c r="A268" s="4"/>
      <c r="B268" s="4"/>
      <c r="C268" s="4"/>
      <c r="D268" s="4"/>
      <c r="E268" s="4"/>
      <c r="F268" s="31"/>
    </row>
    <row r="269" spans="1:10" ht="12.75" customHeight="1">
      <c r="A269" s="4" t="s">
        <v>179</v>
      </c>
      <c r="F269" s="24"/>
      <c r="G269" s="31"/>
    </row>
    <row r="270" spans="1:10" ht="12.75" customHeight="1">
      <c r="A270" s="4"/>
      <c r="F270" s="24"/>
      <c r="G270" s="31"/>
    </row>
    <row r="271" spans="1:10" ht="12.75" customHeight="1">
      <c r="A271" s="5" t="s">
        <v>180</v>
      </c>
      <c r="B271" s="6"/>
      <c r="C271" s="6"/>
      <c r="D271" s="6"/>
      <c r="E271" s="6"/>
      <c r="F271" s="6"/>
      <c r="G271" s="8">
        <v>3050306</v>
      </c>
      <c r="I271" s="8">
        <v>3050306</v>
      </c>
    </row>
    <row r="272" spans="1:10" ht="12.75" customHeight="1">
      <c r="A272" s="5" t="s">
        <v>181</v>
      </c>
      <c r="B272" s="6"/>
      <c r="C272" s="6"/>
      <c r="D272" s="6"/>
      <c r="E272" s="6"/>
      <c r="F272" s="6"/>
      <c r="G272" s="8">
        <v>68843</v>
      </c>
      <c r="I272" s="8">
        <v>68843</v>
      </c>
    </row>
    <row r="273" spans="1:10" ht="12.75" customHeight="1">
      <c r="A273" s="5" t="s">
        <v>182</v>
      </c>
      <c r="B273" s="6"/>
      <c r="C273" s="6"/>
      <c r="D273" s="6"/>
      <c r="E273" s="6"/>
      <c r="F273" s="6"/>
      <c r="G273" s="8">
        <v>4294878</v>
      </c>
      <c r="I273" s="8">
        <v>4294878</v>
      </c>
    </row>
    <row r="274" spans="1:10" ht="12.75" customHeight="1">
      <c r="A274" s="5" t="s">
        <v>183</v>
      </c>
      <c r="B274" s="6"/>
      <c r="C274" s="6"/>
      <c r="D274" s="6"/>
      <c r="E274" s="6"/>
      <c r="F274" s="6"/>
      <c r="G274" s="29">
        <v>174501</v>
      </c>
      <c r="I274" s="29">
        <v>174501</v>
      </c>
    </row>
    <row r="275" spans="1:10" ht="12.75" customHeight="1">
      <c r="A275" s="4"/>
      <c r="G275" s="6"/>
      <c r="I275" s="6"/>
    </row>
    <row r="276" spans="1:10" ht="12.75" customHeight="1">
      <c r="A276" s="4" t="s">
        <v>184</v>
      </c>
      <c r="G276" s="17">
        <f>SUM(G271:G275)</f>
        <v>7588528</v>
      </c>
      <c r="I276" s="17">
        <f>SUM(I271:I275)</f>
        <v>7588528</v>
      </c>
    </row>
    <row r="277" spans="1:10" ht="12.75" customHeight="1">
      <c r="A277" s="5"/>
    </row>
    <row r="278" spans="1:10" ht="12.75" customHeight="1">
      <c r="A278" s="4" t="s">
        <v>185</v>
      </c>
    </row>
    <row r="279" spans="1:10" ht="12.75" customHeight="1">
      <c r="A279" s="4"/>
    </row>
    <row r="280" spans="1:10" ht="12.75" customHeight="1">
      <c r="A280" s="4" t="s">
        <v>132</v>
      </c>
      <c r="B280" s="6"/>
      <c r="C280" s="6"/>
      <c r="D280" s="6"/>
      <c r="E280" s="6"/>
      <c r="F280" s="6"/>
    </row>
    <row r="281" spans="1:10" ht="12.75" customHeight="1">
      <c r="A281" s="5" t="s">
        <v>186</v>
      </c>
      <c r="B281" s="6"/>
      <c r="C281" s="6"/>
      <c r="D281" s="6"/>
      <c r="E281" s="6"/>
      <c r="F281" s="6"/>
      <c r="G281" s="8">
        <v>116605</v>
      </c>
      <c r="I281" s="8">
        <v>92552</v>
      </c>
    </row>
    <row r="282" spans="1:10" ht="12.75" customHeight="1">
      <c r="A282" s="5" t="s">
        <v>187</v>
      </c>
      <c r="B282" s="6"/>
      <c r="C282" s="6"/>
      <c r="D282" s="6"/>
      <c r="E282" s="6"/>
      <c r="F282" s="6"/>
      <c r="G282" s="8">
        <v>16571</v>
      </c>
      <c r="I282" s="8">
        <v>17170</v>
      </c>
    </row>
    <row r="283" spans="1:10" ht="12.75" customHeight="1">
      <c r="A283" s="5" t="s">
        <v>99</v>
      </c>
      <c r="B283" s="6"/>
      <c r="C283" s="6"/>
      <c r="D283" s="6"/>
      <c r="E283" s="6"/>
      <c r="F283" s="6"/>
      <c r="G283" s="8">
        <v>38941</v>
      </c>
      <c r="I283" s="8">
        <v>38941</v>
      </c>
    </row>
    <row r="284" spans="1:10" ht="13.5" customHeight="1">
      <c r="A284" s="4" t="s">
        <v>188</v>
      </c>
      <c r="B284" s="4"/>
      <c r="C284" s="4"/>
      <c r="D284" s="4"/>
      <c r="G284" s="30">
        <f>SUM(G281:G283)</f>
        <v>172117</v>
      </c>
      <c r="I284" s="30">
        <f>SUM(I281:I283)</f>
        <v>148663</v>
      </c>
      <c r="J284" s="19"/>
    </row>
    <row r="285" spans="1:10" ht="14.85" customHeight="1">
      <c r="G285" s="6"/>
      <c r="I285" s="6"/>
    </row>
    <row r="286" spans="1:10" ht="14.85" customHeight="1">
      <c r="G286" s="6"/>
      <c r="I286" s="6"/>
    </row>
    <row r="287" spans="1:10" ht="14.1" customHeight="1">
      <c r="A287" s="16" t="s">
        <v>189</v>
      </c>
      <c r="G287" s="6"/>
      <c r="I287" s="6"/>
    </row>
    <row r="288" spans="1:10" ht="13.5" customHeight="1">
      <c r="A288" t="s">
        <v>190</v>
      </c>
      <c r="G288" s="30">
        <v>209286</v>
      </c>
      <c r="I288" s="30">
        <v>209286</v>
      </c>
    </row>
    <row r="289" spans="1:9" ht="13.5" customHeight="1">
      <c r="G289" s="18"/>
      <c r="I289" s="18"/>
    </row>
    <row r="290" spans="1:9" ht="12.75" customHeight="1">
      <c r="A290" s="3" t="s">
        <v>191</v>
      </c>
      <c r="F290" s="11"/>
    </row>
    <row r="291" spans="1:9" ht="12.75" customHeight="1">
      <c r="A291" s="3"/>
      <c r="F291" s="11"/>
    </row>
    <row r="292" spans="1:9" ht="12.75" customHeight="1">
      <c r="A292" s="5" t="s">
        <v>192</v>
      </c>
      <c r="B292" s="6"/>
      <c r="C292" s="6"/>
      <c r="D292" s="6"/>
      <c r="E292" s="6"/>
      <c r="F292" s="6"/>
      <c r="G292" s="8">
        <f>2500+27832</f>
        <v>30332</v>
      </c>
      <c r="I292" s="8">
        <f>2500+27832</f>
        <v>30332</v>
      </c>
    </row>
    <row r="293" spans="1:9" ht="12.75" customHeight="1">
      <c r="A293" s="5" t="s">
        <v>193</v>
      </c>
      <c r="B293" s="6"/>
      <c r="D293" s="6"/>
      <c r="E293" s="6"/>
      <c r="F293" s="6"/>
      <c r="G293" s="8">
        <v>63070</v>
      </c>
      <c r="I293" s="8">
        <v>63070</v>
      </c>
    </row>
    <row r="294" spans="1:9" ht="12.75" customHeight="1">
      <c r="A294" s="5" t="s">
        <v>194</v>
      </c>
      <c r="B294" s="6"/>
      <c r="C294" s="6"/>
      <c r="D294" s="6"/>
      <c r="E294" s="6"/>
      <c r="F294" s="6"/>
      <c r="G294" s="8">
        <v>335958</v>
      </c>
      <c r="I294" s="8">
        <v>335958</v>
      </c>
    </row>
    <row r="295" spans="1:9" ht="12.75" customHeight="1">
      <c r="A295" s="5" t="s">
        <v>195</v>
      </c>
      <c r="B295" s="6"/>
      <c r="C295" s="6"/>
      <c r="D295" s="6"/>
      <c r="E295" s="6"/>
      <c r="F295" s="6"/>
      <c r="G295" s="8">
        <v>204564</v>
      </c>
      <c r="I295" s="8">
        <v>204564</v>
      </c>
    </row>
    <row r="296" spans="1:9" ht="12.75" customHeight="1">
      <c r="A296" s="5" t="s">
        <v>196</v>
      </c>
      <c r="B296" s="6"/>
      <c r="C296" s="6"/>
      <c r="D296" s="6"/>
      <c r="E296" s="6"/>
      <c r="F296" s="6"/>
      <c r="G296" s="8">
        <v>116855</v>
      </c>
      <c r="I296" s="8">
        <v>116855</v>
      </c>
    </row>
    <row r="297" spans="1:9" ht="12.75" customHeight="1">
      <c r="A297" s="5" t="s">
        <v>197</v>
      </c>
      <c r="B297" s="6"/>
      <c r="C297" s="6"/>
      <c r="D297" s="6"/>
      <c r="E297" s="6"/>
      <c r="F297" s="6"/>
      <c r="G297" s="8">
        <v>27538</v>
      </c>
      <c r="I297" s="8">
        <v>23998</v>
      </c>
    </row>
    <row r="298" spans="1:9" ht="12.75" customHeight="1">
      <c r="A298" s="5" t="s">
        <v>198</v>
      </c>
      <c r="B298" s="6"/>
      <c r="C298" s="6"/>
      <c r="D298" s="6"/>
      <c r="E298" s="6"/>
      <c r="F298" s="6"/>
      <c r="G298" s="8">
        <v>18716</v>
      </c>
      <c r="I298" s="8">
        <v>18716</v>
      </c>
    </row>
    <row r="299" spans="1:9" ht="12.75" customHeight="1">
      <c r="A299" s="5" t="s">
        <v>199</v>
      </c>
      <c r="B299" s="6"/>
      <c r="C299" s="6"/>
      <c r="D299" s="6"/>
      <c r="E299" s="6"/>
      <c r="F299" s="6"/>
      <c r="G299" s="8">
        <f>1537091-63426</f>
        <v>1473665</v>
      </c>
      <c r="I299" s="8">
        <f>509746+158571</f>
        <v>668317</v>
      </c>
    </row>
    <row r="300" spans="1:9" ht="13.5" customHeight="1">
      <c r="A300" s="4" t="s">
        <v>124</v>
      </c>
      <c r="G300" s="9">
        <f>SUM(G292:G299)</f>
        <v>2270698</v>
      </c>
      <c r="I300" s="9">
        <f>SUM(I292:I299)</f>
        <v>1461810</v>
      </c>
    </row>
    <row r="301" spans="1:9" ht="13.5" customHeight="1">
      <c r="A301" s="4"/>
      <c r="G301" s="18"/>
      <c r="I301" s="18"/>
    </row>
    <row r="302" spans="1:9" ht="12.75" customHeight="1">
      <c r="G302" s="18"/>
      <c r="I302" s="18"/>
    </row>
    <row r="303" spans="1:9" ht="12.75" customHeight="1">
      <c r="G303" s="18"/>
      <c r="I303" s="18"/>
    </row>
    <row r="304" spans="1:9" ht="12.75" customHeight="1">
      <c r="A304" s="4" t="s">
        <v>200</v>
      </c>
      <c r="G304" s="18">
        <f>+G288+G284+G276+G266+G203+G196+G179+G170+G300+G150</f>
        <v>144481456</v>
      </c>
      <c r="I304" s="18">
        <f>+I288+I284+I276+I266+I203+I196+I179+I170+I300+I150</f>
        <v>137849413</v>
      </c>
    </row>
    <row r="305" spans="1:11" ht="12.75" customHeight="1">
      <c r="A305" s="4"/>
      <c r="G305" s="18"/>
      <c r="I305" s="18"/>
    </row>
    <row r="306" spans="1:11" ht="12.75" customHeight="1">
      <c r="A306" s="4" t="s">
        <v>201</v>
      </c>
      <c r="G306" s="18">
        <v>108292902</v>
      </c>
      <c r="I306" s="18">
        <v>105279273</v>
      </c>
    </row>
    <row r="307" spans="1:11" ht="12.75" customHeight="1">
      <c r="G307" s="18"/>
      <c r="I307" s="18"/>
    </row>
    <row r="308" spans="1:11" ht="12.75" customHeight="1">
      <c r="A308" s="4" t="s">
        <v>202</v>
      </c>
      <c r="B308" s="4"/>
      <c r="G308" s="18">
        <f>+G304-G306</f>
        <v>36188554</v>
      </c>
      <c r="I308" s="18">
        <f>+I304-I306</f>
        <v>32570140</v>
      </c>
      <c r="K308" s="22"/>
    </row>
    <row r="309" spans="1:11" ht="12.75" customHeight="1">
      <c r="A309" s="4"/>
      <c r="B309" s="4"/>
      <c r="G309" s="18"/>
      <c r="I309" s="18"/>
    </row>
    <row r="310" spans="1:11" ht="12.75" customHeight="1">
      <c r="B310" s="4"/>
      <c r="G310" s="18"/>
      <c r="I310" s="18"/>
    </row>
    <row r="311" spans="1:11" ht="12.75" customHeight="1">
      <c r="B311" s="4"/>
      <c r="G311" s="18"/>
      <c r="I311" s="18"/>
    </row>
    <row r="312" spans="1:11" ht="12.75" customHeight="1">
      <c r="A312" s="4" t="s">
        <v>203</v>
      </c>
      <c r="B312" s="4"/>
      <c r="G312" s="18"/>
      <c r="I312" s="18"/>
    </row>
    <row r="313" spans="1:11" ht="12.75" customHeight="1">
      <c r="A313" s="4"/>
      <c r="B313" s="4"/>
      <c r="G313" s="18"/>
      <c r="I313" s="18"/>
    </row>
    <row r="314" spans="1:11" ht="12.75" customHeight="1">
      <c r="A314" t="s">
        <v>204</v>
      </c>
      <c r="B314" s="4"/>
      <c r="G314" s="18"/>
      <c r="I314" s="18"/>
    </row>
    <row r="315" spans="1:11" ht="12.75" customHeight="1">
      <c r="A315" t="s">
        <v>205</v>
      </c>
      <c r="B315" s="4"/>
      <c r="G315" s="18"/>
      <c r="I315" s="18"/>
    </row>
    <row r="316" spans="1:11" ht="12.75" customHeight="1">
      <c r="A316" t="s">
        <v>206</v>
      </c>
      <c r="B316" s="4"/>
      <c r="G316" s="18"/>
      <c r="I316" s="18"/>
    </row>
    <row r="317" spans="1:11" ht="12.75" customHeight="1">
      <c r="B317" s="4"/>
      <c r="G317" s="18"/>
      <c r="I317" s="18"/>
    </row>
    <row r="318" spans="1:11" ht="12.75" customHeight="1">
      <c r="A318" s="5" t="s">
        <v>207</v>
      </c>
      <c r="G318" s="8">
        <v>769068</v>
      </c>
      <c r="I318" s="8">
        <v>990792</v>
      </c>
    </row>
    <row r="319" spans="1:11" ht="12.75" customHeight="1">
      <c r="A319" s="5" t="s">
        <v>208</v>
      </c>
      <c r="G319" s="29">
        <v>-221724</v>
      </c>
      <c r="I319" s="29">
        <v>-221724</v>
      </c>
    </row>
    <row r="320" spans="1:11" ht="12.75" customHeight="1" thickBot="1">
      <c r="A320" s="4" t="s">
        <v>209</v>
      </c>
      <c r="G320" s="32">
        <f>SUM(G318:G319)</f>
        <v>547344</v>
      </c>
      <c r="I320" s="32">
        <f>+I318+I319</f>
        <v>769068</v>
      </c>
    </row>
    <row r="321" spans="1:10" ht="12.75" customHeight="1" thickTop="1">
      <c r="B321" s="4"/>
      <c r="G321" s="18"/>
      <c r="I321" s="18"/>
    </row>
    <row r="322" spans="1:10" ht="12.75" customHeight="1">
      <c r="B322" s="4"/>
      <c r="G322" s="18"/>
      <c r="I322" s="18"/>
    </row>
    <row r="323" spans="1:10" ht="15" customHeight="1">
      <c r="A323" s="33" t="s">
        <v>210</v>
      </c>
      <c r="B323" s="4"/>
      <c r="G323" s="18"/>
      <c r="I323" s="18"/>
    </row>
    <row r="324" spans="1:10" ht="12.75" customHeight="1">
      <c r="G324" s="18"/>
      <c r="I324" s="18"/>
    </row>
    <row r="325" spans="1:10" ht="12.75" customHeight="1">
      <c r="G325" s="18"/>
      <c r="I325" s="18"/>
    </row>
    <row r="326" spans="1:10" ht="12.75" customHeight="1">
      <c r="A326" s="4" t="s">
        <v>211</v>
      </c>
      <c r="F326" s="11"/>
    </row>
    <row r="327" spans="1:10" ht="12.75" customHeight="1">
      <c r="F327" s="11"/>
    </row>
    <row r="328" spans="1:10" ht="15" customHeight="1">
      <c r="A328" s="21" t="s">
        <v>212</v>
      </c>
      <c r="F328" s="11"/>
      <c r="G328" s="8">
        <v>1559563</v>
      </c>
      <c r="I328" s="8">
        <v>1559563</v>
      </c>
    </row>
    <row r="329" spans="1:10" ht="15" customHeight="1">
      <c r="A329" s="21" t="s">
        <v>177</v>
      </c>
      <c r="G329" s="8">
        <f>G328</f>
        <v>1559563</v>
      </c>
      <c r="I329" s="8">
        <f>I328</f>
        <v>1559563</v>
      </c>
    </row>
    <row r="330" spans="1:10" ht="12.75" customHeight="1">
      <c r="A330" s="5"/>
      <c r="B330" s="5"/>
      <c r="C330" s="5"/>
      <c r="D330" s="5"/>
      <c r="E330" s="5"/>
      <c r="G330" s="6"/>
      <c r="I330" s="6"/>
    </row>
    <row r="331" spans="1:10" ht="13.5" customHeight="1">
      <c r="A331" s="4" t="s">
        <v>213</v>
      </c>
      <c r="B331" s="4"/>
      <c r="C331" s="4"/>
      <c r="D331" s="4"/>
      <c r="E331" s="4"/>
      <c r="G331" s="25">
        <f>+G329</f>
        <v>1559563</v>
      </c>
      <c r="I331" s="25">
        <f>+I329</f>
        <v>1559563</v>
      </c>
    </row>
    <row r="332" spans="1:10" ht="12.75" customHeight="1">
      <c r="A332" s="4" t="s">
        <v>214</v>
      </c>
      <c r="B332" s="4"/>
      <c r="C332" s="4"/>
      <c r="G332" s="31">
        <f>+G331</f>
        <v>1559563</v>
      </c>
      <c r="I332" s="31">
        <f>+I331</f>
        <v>1559563</v>
      </c>
    </row>
    <row r="333" spans="1:10" ht="12.75" customHeight="1">
      <c r="A333" s="4"/>
      <c r="B333" s="4"/>
      <c r="C333" s="4"/>
      <c r="G333" s="31"/>
      <c r="I333" s="31"/>
    </row>
    <row r="334" spans="1:10" ht="12.75" customHeight="1">
      <c r="A334" s="4" t="s">
        <v>215</v>
      </c>
      <c r="B334" s="4"/>
      <c r="C334" s="4"/>
      <c r="D334" s="21"/>
      <c r="E334" s="21"/>
      <c r="F334" s="21"/>
      <c r="G334" s="31">
        <f>+G340-G320</f>
        <v>37748117</v>
      </c>
      <c r="H334" s="21"/>
      <c r="I334" s="31">
        <f>+I340-I320</f>
        <v>35022033</v>
      </c>
      <c r="J334" s="19"/>
    </row>
    <row r="335" spans="1:10" ht="12.75" customHeight="1">
      <c r="A335" s="4"/>
      <c r="B335" s="4"/>
      <c r="C335" s="4"/>
      <c r="G335" s="31"/>
      <c r="I335" s="31"/>
    </row>
    <row r="336" spans="1:10" ht="12.75" customHeight="1">
      <c r="A336" s="4" t="s">
        <v>216</v>
      </c>
      <c r="G336" s="25">
        <f>+G304+G318+G332</f>
        <v>146810087</v>
      </c>
      <c r="I336" s="25">
        <f>+I304+I318+I332</f>
        <v>140399768</v>
      </c>
      <c r="J336" s="19"/>
    </row>
    <row r="337" spans="1:11" ht="12.75" customHeight="1">
      <c r="A337" s="4"/>
      <c r="B337" s="4"/>
      <c r="C337" s="4"/>
      <c r="G337" s="31"/>
      <c r="I337" s="31"/>
    </row>
    <row r="338" spans="1:11" ht="12.75" customHeight="1">
      <c r="A338" s="4" t="s">
        <v>217</v>
      </c>
      <c r="B338" s="4"/>
      <c r="C338" s="4"/>
      <c r="G338" s="18">
        <f>108292902+221724</f>
        <v>108514626</v>
      </c>
      <c r="I338" s="18">
        <v>104110246</v>
      </c>
    </row>
    <row r="339" spans="1:11" ht="12.75" customHeight="1">
      <c r="A339" s="4"/>
      <c r="B339" s="4"/>
      <c r="C339" s="4"/>
      <c r="G339" s="18"/>
      <c r="I339" s="18"/>
    </row>
    <row r="340" spans="1:11" ht="12.75" customHeight="1">
      <c r="A340" s="4" t="s">
        <v>218</v>
      </c>
      <c r="B340" s="4"/>
      <c r="C340" s="4"/>
      <c r="G340" s="18">
        <f>+G336-G338</f>
        <v>38295461</v>
      </c>
      <c r="I340" s="18">
        <f>35022033+769968-900</f>
        <v>35791101</v>
      </c>
      <c r="J340" s="19"/>
    </row>
    <row r="341" spans="1:11" ht="12.75" customHeight="1">
      <c r="A341" s="4"/>
      <c r="B341" s="4"/>
      <c r="C341" s="4"/>
      <c r="G341" s="18"/>
      <c r="I341" s="18"/>
    </row>
    <row r="342" spans="1:11" ht="13.5" customHeight="1">
      <c r="G342" s="31"/>
      <c r="I342" s="31"/>
    </row>
    <row r="343" spans="1:11" ht="13.5" customHeight="1"/>
    <row r="345" spans="1:11" ht="13.5" customHeight="1">
      <c r="A345" s="21" t="s">
        <v>219</v>
      </c>
      <c r="G345" s="25">
        <f>+G340+G85</f>
        <v>158526202</v>
      </c>
      <c r="I345" s="25">
        <f>+I340+I85</f>
        <v>158804658</v>
      </c>
      <c r="J345" s="19"/>
      <c r="K345" s="19"/>
    </row>
    <row r="346" spans="1:11" ht="12.75" customHeight="1">
      <c r="I346" s="17"/>
    </row>
    <row r="347" spans="1:11" ht="15" customHeight="1">
      <c r="A347" s="33" t="s">
        <v>220</v>
      </c>
    </row>
    <row r="348" spans="1:11" ht="15" customHeight="1">
      <c r="A348" s="33"/>
    </row>
    <row r="349" spans="1:11" ht="15" customHeight="1">
      <c r="A349" s="21" t="s">
        <v>221</v>
      </c>
    </row>
    <row r="350" spans="1:11" ht="15" customHeight="1">
      <c r="A350" s="21"/>
    </row>
    <row r="351" spans="1:11" ht="15" customHeight="1">
      <c r="A351" t="s">
        <v>222</v>
      </c>
    </row>
    <row r="352" spans="1:11" ht="15" customHeight="1">
      <c r="A352" t="s">
        <v>223</v>
      </c>
    </row>
    <row r="353" spans="1:10" ht="15" customHeight="1">
      <c r="A353" s="34"/>
    </row>
    <row r="354" spans="1:10" ht="15" customHeight="1">
      <c r="A354" s="4" t="s">
        <v>224</v>
      </c>
      <c r="G354" s="30">
        <v>25448148</v>
      </c>
      <c r="I354" s="30">
        <v>27410006</v>
      </c>
      <c r="J354" s="18"/>
    </row>
    <row r="355" spans="1:10" ht="15" customHeight="1">
      <c r="A355" s="5"/>
      <c r="I355" s="18"/>
    </row>
    <row r="356" spans="1:10" ht="12.75" customHeight="1">
      <c r="A356" s="5"/>
      <c r="I356" s="18"/>
    </row>
    <row r="357" spans="1:10" ht="15" customHeight="1">
      <c r="A357" s="21" t="s">
        <v>225</v>
      </c>
    </row>
    <row r="358" spans="1:10" ht="15" customHeight="1">
      <c r="A358" s="5" t="s">
        <v>226</v>
      </c>
    </row>
    <row r="359" spans="1:10" ht="15" customHeight="1">
      <c r="A359" s="5" t="s">
        <v>227</v>
      </c>
    </row>
    <row r="360" spans="1:10" ht="15" customHeight="1">
      <c r="A360" s="21"/>
    </row>
    <row r="361" spans="1:10" ht="12.75" customHeight="1">
      <c r="A361" s="5" t="s">
        <v>228</v>
      </c>
      <c r="B361" s="6"/>
      <c r="C361" s="6"/>
      <c r="D361" s="6"/>
      <c r="E361" s="6"/>
      <c r="F361" s="6"/>
      <c r="G361" s="35">
        <f>2020233+325441</f>
        <v>2345674</v>
      </c>
      <c r="I361" s="35">
        <f>2020233+325441</f>
        <v>2345674</v>
      </c>
    </row>
    <row r="362" spans="1:10" ht="12.75" customHeight="1">
      <c r="A362" s="5" t="s">
        <v>229</v>
      </c>
      <c r="B362" s="6"/>
      <c r="C362" s="6"/>
      <c r="D362" s="6"/>
      <c r="E362" s="6"/>
      <c r="F362" s="6"/>
      <c r="G362" s="35">
        <v>13734</v>
      </c>
      <c r="I362" s="35">
        <v>13734</v>
      </c>
    </row>
    <row r="363" spans="1:10" ht="12.75" customHeight="1">
      <c r="A363" s="5" t="s">
        <v>230</v>
      </c>
      <c r="B363" s="6"/>
      <c r="C363" s="6"/>
      <c r="D363" s="6"/>
      <c r="E363" s="6"/>
      <c r="F363" s="6"/>
      <c r="G363" s="36">
        <v>49442</v>
      </c>
      <c r="I363" s="36">
        <v>49442</v>
      </c>
    </row>
    <row r="364" spans="1:10" ht="12.75" customHeight="1">
      <c r="A364" s="5"/>
      <c r="B364" s="6"/>
      <c r="C364" s="6"/>
      <c r="D364" s="6"/>
      <c r="E364" s="6"/>
      <c r="F364" s="6"/>
      <c r="G364" s="37">
        <f>SUM(G361:G363)</f>
        <v>2408850</v>
      </c>
      <c r="I364" s="37">
        <f>SUM(I361:I363)</f>
        <v>2408850</v>
      </c>
    </row>
    <row r="365" spans="1:10" ht="12.75" customHeight="1">
      <c r="A365" s="21" t="s">
        <v>231</v>
      </c>
      <c r="D365" s="6"/>
      <c r="E365" s="6"/>
      <c r="F365" s="6"/>
      <c r="G365" s="37"/>
      <c r="I365" s="35"/>
    </row>
    <row r="366" spans="1:10" ht="14.25" customHeight="1">
      <c r="A366" t="s">
        <v>232</v>
      </c>
      <c r="B366" s="6"/>
      <c r="C366" s="6"/>
      <c r="D366" s="6"/>
      <c r="E366" s="6"/>
      <c r="F366" s="6"/>
      <c r="G366" s="35">
        <v>1664271</v>
      </c>
      <c r="I366" s="35">
        <v>604002</v>
      </c>
    </row>
    <row r="367" spans="1:10" ht="14.25" customHeight="1">
      <c r="A367" t="s">
        <v>233</v>
      </c>
      <c r="B367" s="6"/>
      <c r="C367" s="6"/>
      <c r="D367" s="6"/>
      <c r="E367" s="6"/>
      <c r="F367" s="6"/>
      <c r="G367" s="35">
        <v>77400</v>
      </c>
      <c r="I367" s="35">
        <v>1030550</v>
      </c>
    </row>
    <row r="368" spans="1:10" ht="14.25" customHeight="1">
      <c r="A368" t="s">
        <v>234</v>
      </c>
      <c r="B368" s="6"/>
      <c r="C368" s="6"/>
      <c r="D368" s="6"/>
      <c r="E368" s="6"/>
      <c r="F368" s="6"/>
      <c r="G368" s="35">
        <f>263329+34402+4169+2859</f>
        <v>304759</v>
      </c>
      <c r="I368" s="35">
        <v>0</v>
      </c>
    </row>
    <row r="369" spans="1:11" ht="12.75" customHeight="1">
      <c r="A369" s="5" t="s">
        <v>235</v>
      </c>
      <c r="B369" s="6"/>
      <c r="C369" s="6"/>
      <c r="D369" s="6"/>
      <c r="E369" s="6"/>
      <c r="F369" s="6"/>
      <c r="G369" s="38">
        <v>135182</v>
      </c>
      <c r="I369" s="11">
        <v>135182</v>
      </c>
    </row>
    <row r="370" spans="1:11" ht="12.75" customHeight="1">
      <c r="A370" s="5" t="s">
        <v>236</v>
      </c>
      <c r="B370" s="6"/>
      <c r="C370" s="6"/>
      <c r="D370" s="6"/>
      <c r="E370" s="6"/>
      <c r="F370" s="6"/>
      <c r="G370" s="36">
        <v>0</v>
      </c>
      <c r="I370" s="36">
        <v>168048</v>
      </c>
    </row>
    <row r="371" spans="1:11" ht="15.75" customHeight="1">
      <c r="A371" s="21" t="s">
        <v>237</v>
      </c>
      <c r="B371" s="4"/>
      <c r="C371" s="4"/>
      <c r="E371" s="4"/>
      <c r="G371" s="39">
        <f>SUM(G366:G370)</f>
        <v>2181612</v>
      </c>
      <c r="H371" s="40"/>
      <c r="I371" s="39">
        <f>SUM(I366:I370)</f>
        <v>1937782</v>
      </c>
      <c r="J371" s="19"/>
      <c r="K371" s="14"/>
    </row>
    <row r="372" spans="1:11" ht="15.75" customHeight="1">
      <c r="A372" s="21"/>
      <c r="B372" s="4"/>
      <c r="C372" s="4"/>
      <c r="E372" s="4"/>
    </row>
    <row r="373" spans="1:11" ht="15.75" customHeight="1">
      <c r="A373" s="21"/>
      <c r="B373" s="4"/>
      <c r="C373" s="4"/>
      <c r="E373" s="4"/>
      <c r="G373" s="41">
        <f>+G371+G364</f>
        <v>4590462</v>
      </c>
      <c r="H373" s="41"/>
      <c r="I373" s="41">
        <f>+I371+I364</f>
        <v>4346632</v>
      </c>
    </row>
    <row r="374" spans="1:11" ht="15.75" customHeight="1">
      <c r="A374" s="21"/>
      <c r="B374" s="4"/>
      <c r="C374" s="4"/>
      <c r="E374" s="4"/>
      <c r="G374" s="19"/>
      <c r="I374" s="19"/>
    </row>
    <row r="375" spans="1:11" ht="13.5" customHeight="1">
      <c r="A375" s="5"/>
      <c r="I375" s="18"/>
    </row>
    <row r="376" spans="1:11" ht="13.5" customHeight="1">
      <c r="A376" s="5"/>
      <c r="I376" s="18"/>
    </row>
    <row r="377" spans="1:11" ht="13.5" customHeight="1">
      <c r="A377" s="5"/>
      <c r="I377" s="18"/>
    </row>
    <row r="378" spans="1:11" ht="13.5" customHeight="1">
      <c r="A378" s="5"/>
      <c r="I378" s="18"/>
    </row>
    <row r="379" spans="1:11" ht="15" customHeight="1">
      <c r="A379" s="21"/>
    </row>
    <row r="381" spans="1:11" ht="15" customHeight="1">
      <c r="A381" s="21" t="s">
        <v>238</v>
      </c>
    </row>
    <row r="382" spans="1:11" ht="15" customHeight="1">
      <c r="A382" s="21"/>
    </row>
    <row r="383" spans="1:11" ht="15" customHeight="1">
      <c r="A383" t="s">
        <v>239</v>
      </c>
    </row>
    <row r="384" spans="1:11" ht="15" customHeight="1">
      <c r="A384" t="s">
        <v>240</v>
      </c>
    </row>
    <row r="385" spans="1:10" ht="15" customHeight="1">
      <c r="A385" s="21"/>
    </row>
    <row r="386" spans="1:10" ht="15" customHeight="1">
      <c r="A386" s="21"/>
    </row>
    <row r="387" spans="1:10" ht="15" customHeight="1">
      <c r="A387" s="21"/>
    </row>
    <row r="388" spans="1:10" ht="12.75" customHeight="1">
      <c r="A388" s="5" t="s">
        <v>241</v>
      </c>
      <c r="B388" s="6"/>
      <c r="C388" s="6"/>
      <c r="D388" s="6"/>
      <c r="E388" s="6"/>
      <c r="F388" s="6"/>
      <c r="G388" s="11">
        <v>407557</v>
      </c>
      <c r="I388" s="11">
        <v>407557</v>
      </c>
    </row>
    <row r="389" spans="1:10" ht="15.75" customHeight="1">
      <c r="A389" s="21" t="s">
        <v>242</v>
      </c>
      <c r="G389" s="25">
        <f>SUM(G388:G388)</f>
        <v>407557</v>
      </c>
      <c r="I389" s="25">
        <f>SUM(I388:I388)</f>
        <v>407557</v>
      </c>
      <c r="J389" s="14"/>
    </row>
    <row r="390" spans="1:10" ht="15" customHeight="1"/>
    <row r="391" spans="1:10" ht="15.75" customHeight="1">
      <c r="A391" s="21" t="s">
        <v>243</v>
      </c>
      <c r="B391" s="4"/>
      <c r="C391" s="4"/>
      <c r="D391" s="4"/>
      <c r="E391" s="4"/>
      <c r="G391" s="25">
        <f>+G389+G373+G354</f>
        <v>30446167</v>
      </c>
      <c r="I391" s="25">
        <f>+I389+I371+I354+I364</f>
        <v>32164195</v>
      </c>
      <c r="J391" s="19"/>
    </row>
    <row r="392" spans="1:10" ht="15.75" customHeight="1">
      <c r="A392" s="21"/>
      <c r="B392" s="4"/>
      <c r="C392" s="4"/>
      <c r="D392" s="4"/>
      <c r="E392" s="4"/>
      <c r="I392" s="17"/>
    </row>
    <row r="395" spans="1:10" ht="12.75" customHeight="1">
      <c r="A395" s="4" t="s">
        <v>244</v>
      </c>
    </row>
    <row r="396" spans="1:10" ht="12.75" customHeight="1">
      <c r="A396" s="4"/>
    </row>
    <row r="397" spans="1:10" ht="12.75" customHeight="1">
      <c r="A397" t="s">
        <v>245</v>
      </c>
    </row>
    <row r="398" spans="1:10" ht="12.75" customHeight="1">
      <c r="A398" t="s">
        <v>246</v>
      </c>
    </row>
    <row r="399" spans="1:10" ht="12.75" customHeight="1">
      <c r="A399" s="4"/>
      <c r="G399" s="42">
        <v>2022</v>
      </c>
      <c r="I399" s="42">
        <v>2021</v>
      </c>
    </row>
    <row r="400" spans="1:10" ht="12.75" customHeight="1">
      <c r="A400" s="5" t="s">
        <v>247</v>
      </c>
      <c r="B400" s="6"/>
      <c r="C400" s="6"/>
      <c r="D400" s="6"/>
      <c r="E400" s="6"/>
      <c r="F400" s="6"/>
      <c r="G400" s="11">
        <v>53822869</v>
      </c>
      <c r="I400" s="11">
        <v>53822869</v>
      </c>
    </row>
    <row r="401" spans="1:11" ht="12.75" customHeight="1">
      <c r="A401" s="5" t="s">
        <v>248</v>
      </c>
      <c r="B401" s="6"/>
      <c r="C401" s="6"/>
      <c r="D401" s="6"/>
      <c r="E401" s="6"/>
      <c r="F401" s="6"/>
      <c r="G401" s="11">
        <v>72817594</v>
      </c>
      <c r="I401" s="11">
        <v>46051512</v>
      </c>
    </row>
    <row r="402" spans="1:11" ht="12.75" customHeight="1">
      <c r="A402" s="43" t="s">
        <v>249</v>
      </c>
      <c r="B402" s="6"/>
      <c r="C402" s="6"/>
      <c r="D402" s="6"/>
      <c r="E402" s="6"/>
      <c r="F402" s="6"/>
      <c r="G402" s="11">
        <f>[1]Estsdo_Rendimiento_Financiero!$D$33</f>
        <v>1439572</v>
      </c>
      <c r="I402" s="11">
        <f>[1]Estsdo_Rendimiento_Financiero!$F$33</f>
        <v>26766082</v>
      </c>
    </row>
    <row r="403" spans="1:11" ht="13.5" customHeight="1">
      <c r="A403" s="16" t="s">
        <v>250</v>
      </c>
      <c r="B403" s="6"/>
      <c r="C403" s="6"/>
      <c r="D403" s="6"/>
      <c r="E403" s="6"/>
      <c r="F403" s="6"/>
      <c r="G403" s="12">
        <f>SUM(G400:G402)</f>
        <v>128080035</v>
      </c>
      <c r="I403" s="12">
        <f>SUM(I400:I402)</f>
        <v>126640463</v>
      </c>
      <c r="J403" s="19"/>
    </row>
    <row r="404" spans="1:11" ht="13.5" customHeight="1">
      <c r="A404" s="16"/>
      <c r="B404" s="6"/>
      <c r="C404" s="6"/>
      <c r="D404" s="6"/>
      <c r="E404" s="6"/>
      <c r="F404" s="6"/>
    </row>
    <row r="405" spans="1:11" ht="15" customHeight="1">
      <c r="A405" s="44" t="s">
        <v>251</v>
      </c>
      <c r="F405" s="31"/>
      <c r="G405" s="13"/>
    </row>
    <row r="406" spans="1:11" ht="15" customHeight="1">
      <c r="A406" s="21"/>
      <c r="F406" s="31"/>
      <c r="G406" s="13"/>
    </row>
    <row r="407" spans="1:11" ht="15" customHeight="1">
      <c r="A407" s="21" t="s">
        <v>252</v>
      </c>
      <c r="F407" s="31"/>
      <c r="G407" s="13"/>
    </row>
    <row r="408" spans="1:11" ht="15" customHeight="1">
      <c r="A408" s="21"/>
      <c r="F408" s="31"/>
      <c r="G408" s="13"/>
    </row>
    <row r="409" spans="1:11" ht="15" customHeight="1">
      <c r="A409" t="s">
        <v>253</v>
      </c>
      <c r="F409" s="31"/>
      <c r="G409" s="13"/>
    </row>
    <row r="410" spans="1:11" ht="15" customHeight="1">
      <c r="A410" t="s">
        <v>254</v>
      </c>
      <c r="F410" s="31"/>
      <c r="G410" s="13"/>
    </row>
    <row r="411" spans="1:11" ht="15" customHeight="1">
      <c r="A411" t="s">
        <v>255</v>
      </c>
      <c r="F411" s="31"/>
      <c r="G411" s="13"/>
    </row>
    <row r="412" spans="1:11" ht="15" customHeight="1">
      <c r="F412" s="31"/>
    </row>
    <row r="413" spans="1:11" ht="15" customHeight="1">
      <c r="A413" s="21" t="s">
        <v>256</v>
      </c>
      <c r="F413" s="31"/>
      <c r="G413" s="13">
        <v>340978714</v>
      </c>
      <c r="I413" s="13">
        <v>359247185</v>
      </c>
      <c r="J413" s="19"/>
      <c r="K413" s="19"/>
    </row>
    <row r="414" spans="1:11" ht="15" customHeight="1">
      <c r="A414" s="21" t="s">
        <v>257</v>
      </c>
      <c r="F414" s="31"/>
      <c r="G414" s="45">
        <v>0</v>
      </c>
      <c r="I414" s="45">
        <v>3823805</v>
      </c>
    </row>
    <row r="415" spans="1:11" ht="15" customHeight="1">
      <c r="A415" s="21" t="s">
        <v>177</v>
      </c>
      <c r="F415" s="31"/>
      <c r="G415" s="31">
        <f>SUM(G405:G414)</f>
        <v>340978714</v>
      </c>
      <c r="I415" s="31">
        <f>SUM(I405:I414)</f>
        <v>363070990</v>
      </c>
    </row>
    <row r="416" spans="1:11" ht="15" customHeight="1">
      <c r="A416" s="21"/>
      <c r="F416" s="31"/>
      <c r="G416" s="13"/>
    </row>
    <row r="417" spans="1:9" ht="15" customHeight="1">
      <c r="A417" s="21"/>
      <c r="F417" s="31"/>
      <c r="G417" s="13"/>
      <c r="I417" s="46"/>
    </row>
    <row r="418" spans="1:9" ht="14.25" customHeight="1">
      <c r="F418" s="31"/>
      <c r="G418" s="13"/>
      <c r="I418" s="13"/>
    </row>
    <row r="419" spans="1:9" ht="15" customHeight="1">
      <c r="A419" s="33" t="s">
        <v>258</v>
      </c>
      <c r="F419" s="31"/>
      <c r="G419" s="13"/>
      <c r="I419" s="19"/>
    </row>
    <row r="420" spans="1:9" ht="15" customHeight="1">
      <c r="A420" s="33"/>
      <c r="F420" s="31"/>
      <c r="G420" s="13"/>
      <c r="I420" s="19"/>
    </row>
    <row r="421" spans="1:9" ht="15" customHeight="1">
      <c r="A421" s="4" t="s">
        <v>259</v>
      </c>
      <c r="F421" s="31"/>
      <c r="G421" s="13"/>
      <c r="I421" s="19"/>
    </row>
    <row r="422" spans="1:9" ht="15" customHeight="1">
      <c r="A422" t="s">
        <v>260</v>
      </c>
      <c r="F422" s="31"/>
      <c r="G422" s="13"/>
      <c r="I422" s="19"/>
    </row>
    <row r="423" spans="1:9" ht="15" customHeight="1">
      <c r="A423" t="s">
        <v>261</v>
      </c>
      <c r="F423" s="31"/>
      <c r="G423" s="13"/>
      <c r="I423" s="19"/>
    </row>
    <row r="424" spans="1:9" ht="15" customHeight="1">
      <c r="A424" s="33"/>
      <c r="F424" s="31"/>
      <c r="G424" s="13"/>
      <c r="I424" s="19"/>
    </row>
    <row r="425" spans="1:9" ht="15" customHeight="1">
      <c r="A425" s="33"/>
      <c r="F425" s="31"/>
      <c r="G425" s="13"/>
      <c r="I425" s="19"/>
    </row>
    <row r="426" spans="1:9" ht="12.75" customHeight="1">
      <c r="A426" s="5" t="s">
        <v>262</v>
      </c>
      <c r="F426" s="31"/>
      <c r="G426" s="47">
        <v>281794</v>
      </c>
      <c r="H426" s="6"/>
      <c r="I426" s="47">
        <v>202018</v>
      </c>
    </row>
    <row r="427" spans="1:9" ht="12.75" customHeight="1">
      <c r="A427" s="5" t="s">
        <v>263</v>
      </c>
      <c r="F427" s="31"/>
      <c r="G427" s="47">
        <v>1426352</v>
      </c>
      <c r="H427" s="6"/>
      <c r="I427" s="47">
        <v>166795</v>
      </c>
    </row>
    <row r="428" spans="1:9" ht="12.75" customHeight="1">
      <c r="A428" s="5" t="s">
        <v>264</v>
      </c>
      <c r="F428" s="31"/>
      <c r="G428" s="48">
        <v>4688810</v>
      </c>
      <c r="H428" s="6"/>
      <c r="I428" s="48">
        <v>714840</v>
      </c>
    </row>
    <row r="429" spans="1:9" ht="12.75" customHeight="1">
      <c r="A429" s="5"/>
      <c r="F429" s="31"/>
      <c r="G429" s="13"/>
      <c r="I429" s="13"/>
    </row>
    <row r="430" spans="1:9" ht="12.75" customHeight="1">
      <c r="A430" s="21" t="s">
        <v>259</v>
      </c>
      <c r="F430" s="31"/>
      <c r="G430" s="49">
        <f>SUM(G426:G429)</f>
        <v>6396956</v>
      </c>
      <c r="I430" s="49">
        <f>SUM(I426:I429)</f>
        <v>1083653</v>
      </c>
    </row>
    <row r="431" spans="1:9" ht="12.75" customHeight="1">
      <c r="A431" s="5"/>
      <c r="F431" s="31"/>
      <c r="G431" s="13"/>
      <c r="I431" s="13"/>
    </row>
    <row r="432" spans="1:9" ht="15" customHeight="1">
      <c r="A432" s="21" t="s">
        <v>265</v>
      </c>
      <c r="F432" s="31"/>
      <c r="G432" s="50">
        <f>G430</f>
        <v>6396956</v>
      </c>
      <c r="I432" s="50">
        <f>I430</f>
        <v>1083653</v>
      </c>
    </row>
    <row r="433" spans="1:10" ht="15" customHeight="1">
      <c r="A433" s="21"/>
      <c r="F433" s="31"/>
      <c r="G433" s="50"/>
      <c r="I433" s="50"/>
    </row>
    <row r="434" spans="1:10" ht="15" customHeight="1">
      <c r="A434" s="21" t="s">
        <v>266</v>
      </c>
      <c r="F434" s="31"/>
      <c r="G434" s="50"/>
      <c r="I434" s="50"/>
    </row>
    <row r="435" spans="1:10" ht="15" customHeight="1">
      <c r="A435" s="21" t="s">
        <v>267</v>
      </c>
      <c r="F435" s="31"/>
      <c r="G435" s="50">
        <v>1136009</v>
      </c>
      <c r="I435" s="50"/>
    </row>
    <row r="436" spans="1:10" ht="15" customHeight="1">
      <c r="A436" s="21" t="s">
        <v>268</v>
      </c>
      <c r="F436" s="31"/>
      <c r="G436" s="50">
        <f>+G435</f>
        <v>1136009</v>
      </c>
      <c r="I436" s="50"/>
    </row>
    <row r="437" spans="1:10" ht="15" customHeight="1">
      <c r="A437" s="21"/>
      <c r="F437" s="31"/>
      <c r="G437" s="50"/>
      <c r="I437" s="50"/>
    </row>
    <row r="438" spans="1:10" ht="15.75" customHeight="1">
      <c r="A438" s="21" t="s">
        <v>269</v>
      </c>
      <c r="F438" s="31"/>
      <c r="G438" s="51">
        <f>+G432+G415+G436</f>
        <v>348511679</v>
      </c>
      <c r="I438" s="51">
        <f>+I432+I415+I418</f>
        <v>364154643</v>
      </c>
      <c r="J438" s="19"/>
    </row>
    <row r="439" spans="1:10" ht="15" customHeight="1">
      <c r="G439" s="7"/>
    </row>
    <row r="440" spans="1:10" ht="15" customHeight="1">
      <c r="G440" s="7"/>
    </row>
    <row r="441" spans="1:10" ht="15" customHeight="1">
      <c r="G441" s="7"/>
    </row>
    <row r="442" spans="1:10" ht="15" customHeight="1">
      <c r="G442" s="7"/>
    </row>
    <row r="443" spans="1:10" ht="15" customHeight="1">
      <c r="G443" s="7"/>
    </row>
    <row r="444" spans="1:10" ht="15" customHeight="1">
      <c r="G444" s="7"/>
    </row>
    <row r="445" spans="1:10" ht="15" customHeight="1">
      <c r="G445" s="7"/>
    </row>
    <row r="446" spans="1:10" ht="15" customHeight="1">
      <c r="G446" s="7"/>
    </row>
    <row r="447" spans="1:10" ht="12.75" customHeight="1">
      <c r="A447" s="4" t="s">
        <v>270</v>
      </c>
      <c r="G447" s="7">
        <v>2022</v>
      </c>
      <c r="I447" s="7">
        <v>2021</v>
      </c>
    </row>
    <row r="448" spans="1:10" ht="12.75" customHeight="1">
      <c r="A448" s="4"/>
      <c r="G448" s="7"/>
      <c r="I448" s="7"/>
    </row>
    <row r="449" spans="1:11" ht="12.75" customHeight="1">
      <c r="A449" s="4"/>
      <c r="G449" s="7"/>
      <c r="I449" s="7"/>
    </row>
    <row r="450" spans="1:11" ht="12.75" customHeight="1">
      <c r="A450" t="s">
        <v>271</v>
      </c>
      <c r="G450" s="7"/>
      <c r="I450" s="7"/>
    </row>
    <row r="451" spans="1:11" ht="12.75" customHeight="1">
      <c r="A451" t="s">
        <v>272</v>
      </c>
      <c r="G451" s="7"/>
      <c r="I451" s="7"/>
    </row>
    <row r="452" spans="1:11" ht="12.75" customHeight="1">
      <c r="A452" s="4"/>
      <c r="G452" s="7"/>
      <c r="I452" s="7"/>
    </row>
    <row r="453" spans="1:11" ht="14.25" customHeight="1">
      <c r="I453" s="7"/>
    </row>
    <row r="454" spans="1:11" ht="12.75" customHeight="1">
      <c r="A454" s="5" t="s">
        <v>273</v>
      </c>
      <c r="B454" s="6"/>
      <c r="C454" s="6"/>
      <c r="D454" s="6"/>
      <c r="E454" s="6"/>
      <c r="F454" s="6"/>
      <c r="G454" s="11">
        <v>55942153</v>
      </c>
      <c r="I454" s="11">
        <v>42274914</v>
      </c>
    </row>
    <row r="455" spans="1:11" ht="12.75" customHeight="1">
      <c r="A455" s="5" t="s">
        <v>274</v>
      </c>
      <c r="B455" s="6"/>
      <c r="C455" s="6"/>
      <c r="D455" s="6"/>
      <c r="E455" s="6"/>
      <c r="F455" s="6"/>
      <c r="G455" s="11">
        <f>57040532+6500900+8380380+10117800+275492</f>
        <v>82315104</v>
      </c>
      <c r="I455" s="11">
        <f>56786656+6317906+8189750+10496087</f>
        <v>81790399</v>
      </c>
    </row>
    <row r="456" spans="1:11" ht="12.75" customHeight="1">
      <c r="A456" s="5" t="s">
        <v>275</v>
      </c>
      <c r="B456" s="6"/>
      <c r="C456" s="6"/>
      <c r="D456" s="6"/>
      <c r="E456" s="6"/>
      <c r="F456" s="6"/>
      <c r="G456" s="11">
        <v>3118468</v>
      </c>
      <c r="I456" s="11">
        <v>3299108</v>
      </c>
    </row>
    <row r="457" spans="1:11" ht="12.75" customHeight="1">
      <c r="A457" s="5" t="s">
        <v>276</v>
      </c>
      <c r="B457" s="6"/>
      <c r="C457" s="6"/>
      <c r="D457" s="6"/>
      <c r="E457" s="6"/>
      <c r="F457" s="6"/>
      <c r="G457" s="11">
        <f>2896960-432000</f>
        <v>2464960</v>
      </c>
      <c r="I457" s="11">
        <f>4301848-400000</f>
        <v>3901848</v>
      </c>
      <c r="K457" s="11"/>
    </row>
    <row r="458" spans="1:11" ht="12.75" customHeight="1">
      <c r="A458" s="5" t="s">
        <v>277</v>
      </c>
      <c r="B458" s="6"/>
      <c r="C458" s="6"/>
      <c r="D458" s="6"/>
      <c r="E458" s="6"/>
      <c r="F458" s="6"/>
      <c r="G458" s="11">
        <f>952088+2907733</f>
        <v>3859821</v>
      </c>
      <c r="I458" s="11">
        <f>5180433+2755072</f>
        <v>7935505</v>
      </c>
    </row>
    <row r="459" spans="1:11" ht="12.75" customHeight="1">
      <c r="A459" s="5" t="s">
        <v>278</v>
      </c>
      <c r="B459" s="6"/>
      <c r="C459" s="6"/>
      <c r="D459" s="6"/>
      <c r="E459" s="6"/>
      <c r="F459" s="6"/>
      <c r="G459" s="11">
        <v>252000</v>
      </c>
      <c r="I459" s="11">
        <f>4879811</f>
        <v>4879811</v>
      </c>
    </row>
    <row r="460" spans="1:11" ht="12.75" customHeight="1">
      <c r="A460" s="5" t="s">
        <v>279</v>
      </c>
      <c r="B460" s="6"/>
      <c r="C460" s="6"/>
      <c r="D460" s="6"/>
      <c r="E460" s="6"/>
      <c r="F460" s="6"/>
      <c r="G460" s="11">
        <v>132000</v>
      </c>
      <c r="I460" s="11">
        <f>304000+1211891</f>
        <v>1515891</v>
      </c>
    </row>
    <row r="461" spans="1:11" ht="12.75" customHeight="1">
      <c r="A461" s="5" t="s">
        <v>280</v>
      </c>
      <c r="B461" s="6"/>
      <c r="C461" s="6"/>
      <c r="D461" s="6"/>
      <c r="E461" s="6"/>
      <c r="F461" s="6"/>
      <c r="G461" s="11">
        <v>17738045</v>
      </c>
      <c r="I461" s="11">
        <v>20917996</v>
      </c>
    </row>
    <row r="462" spans="1:11" ht="12.75" customHeight="1">
      <c r="A462" s="5" t="s">
        <v>281</v>
      </c>
      <c r="B462" s="6"/>
      <c r="C462" s="6"/>
      <c r="D462" s="6"/>
      <c r="E462" s="6"/>
      <c r="F462" s="8"/>
      <c r="G462" s="11">
        <f>2042880+33813688+910000+60000+1320000+120000+240000+236940+720000</f>
        <v>39463508</v>
      </c>
      <c r="I462" s="11">
        <f>2112880+36198713+1200000+226620+20000+20000+680000+20000+90000+1340000+250000+20000+210000+366940+60000+900000</f>
        <v>43715153</v>
      </c>
    </row>
    <row r="463" spans="1:11" ht="12.75" customHeight="1">
      <c r="A463" s="5" t="s">
        <v>282</v>
      </c>
      <c r="B463" s="6"/>
      <c r="C463" s="6"/>
      <c r="D463" s="6"/>
      <c r="E463" s="6"/>
      <c r="F463" s="8"/>
      <c r="G463" s="11">
        <f>8268156+470316+884493+6017350</f>
        <v>15640315</v>
      </c>
      <c r="I463" s="11">
        <f>7517773-26430+427560+927249+6619085</f>
        <v>15465237</v>
      </c>
    </row>
    <row r="464" spans="1:11" ht="12.75" customHeight="1">
      <c r="A464" s="5" t="s">
        <v>283</v>
      </c>
      <c r="B464" s="6"/>
      <c r="C464" s="6"/>
      <c r="D464" s="6"/>
      <c r="E464" s="6"/>
      <c r="F464" s="8"/>
      <c r="G464" s="8">
        <v>31762</v>
      </c>
      <c r="I464" s="8">
        <v>292416</v>
      </c>
    </row>
    <row r="465" spans="1:11" ht="12.75" customHeight="1">
      <c r="A465" s="5" t="s">
        <v>284</v>
      </c>
      <c r="B465" s="6"/>
      <c r="C465" s="6"/>
      <c r="D465" s="6"/>
      <c r="E465" s="6"/>
      <c r="F465" s="8"/>
      <c r="G465" s="11">
        <v>2578012</v>
      </c>
      <c r="I465" s="11">
        <v>2440512</v>
      </c>
    </row>
    <row r="466" spans="1:11" ht="12.75" customHeight="1">
      <c r="A466" s="5" t="s">
        <v>285</v>
      </c>
      <c r="B466" s="6"/>
      <c r="C466" s="6"/>
      <c r="D466" s="6"/>
      <c r="E466" s="6"/>
      <c r="F466" s="8"/>
      <c r="G466" s="11">
        <f>5872993+7188016+1245964</f>
        <v>14306973</v>
      </c>
      <c r="I466" s="11">
        <v>0</v>
      </c>
    </row>
    <row r="467" spans="1:11" ht="12.75" customHeight="1">
      <c r="A467" s="5" t="s">
        <v>286</v>
      </c>
      <c r="B467" s="6"/>
      <c r="C467" s="6"/>
      <c r="D467" s="6"/>
      <c r="E467" s="6"/>
      <c r="F467" s="8"/>
      <c r="G467" s="11">
        <f>5832000+432000</f>
        <v>6264000</v>
      </c>
      <c r="I467" s="11">
        <f>6228000+400000</f>
        <v>6628000</v>
      </c>
    </row>
    <row r="468" spans="1:11" ht="12.75" customHeight="1">
      <c r="A468" s="52" t="s">
        <v>287</v>
      </c>
      <c r="B468" s="6"/>
      <c r="C468" s="6"/>
      <c r="D468" s="6"/>
      <c r="E468" s="6"/>
      <c r="F468" s="8"/>
      <c r="G468" s="11">
        <f>7896757+5349180</f>
        <v>13245937</v>
      </c>
      <c r="I468" s="11">
        <f>7982848+5377679</f>
        <v>13360527</v>
      </c>
    </row>
    <row r="469" spans="1:11" ht="12.75" customHeight="1">
      <c r="A469" s="52" t="s">
        <v>288</v>
      </c>
      <c r="B469" s="6"/>
      <c r="C469" s="6"/>
      <c r="D469" s="6"/>
      <c r="E469" s="6"/>
      <c r="F469" s="8"/>
      <c r="G469" s="11">
        <f>7943908+5392828</f>
        <v>13336736</v>
      </c>
      <c r="I469" s="11">
        <f>5423796+8032217</f>
        <v>13456013</v>
      </c>
      <c r="K469" s="53"/>
    </row>
    <row r="470" spans="1:11" ht="12.75" customHeight="1">
      <c r="A470" s="52" t="s">
        <v>289</v>
      </c>
      <c r="B470" s="6"/>
      <c r="C470" s="6"/>
      <c r="D470" s="6"/>
      <c r="E470" s="6"/>
      <c r="F470" s="8"/>
      <c r="G470" s="11">
        <f>830596+1208987</f>
        <v>2039583</v>
      </c>
      <c r="I470" s="11">
        <f>1216346+844927</f>
        <v>2061273</v>
      </c>
    </row>
    <row r="471" spans="1:11" ht="12.75" customHeight="1">
      <c r="A471" s="5" t="s">
        <v>290</v>
      </c>
      <c r="B471" s="6"/>
      <c r="C471" s="6"/>
      <c r="D471" s="6"/>
      <c r="E471" s="6"/>
      <c r="F471" s="8"/>
      <c r="G471" s="11">
        <f>6121925+402884+75681</f>
        <v>6600490</v>
      </c>
      <c r="I471" s="11">
        <v>6996516</v>
      </c>
    </row>
    <row r="472" spans="1:11" ht="12.75" customHeight="1">
      <c r="A472" s="5" t="s">
        <v>291</v>
      </c>
      <c r="B472" s="6"/>
      <c r="C472" s="6"/>
      <c r="D472" s="6"/>
      <c r="E472" s="6"/>
      <c r="F472" s="8"/>
      <c r="G472" s="11">
        <f>214506+50000</f>
        <v>264506</v>
      </c>
      <c r="I472" s="11">
        <v>120000</v>
      </c>
      <c r="K472" s="22"/>
    </row>
    <row r="473" spans="1:11" ht="12.75" customHeight="1">
      <c r="A473" s="5" t="s">
        <v>292</v>
      </c>
      <c r="B473" s="6"/>
      <c r="C473" s="6"/>
      <c r="D473" s="6"/>
      <c r="E473" s="6"/>
      <c r="F473" s="8"/>
      <c r="G473" s="15">
        <v>120000</v>
      </c>
      <c r="I473" s="15">
        <f>100000+102465+140000</f>
        <v>342465</v>
      </c>
      <c r="K473" s="22"/>
    </row>
    <row r="474" spans="1:11" ht="13.5" customHeight="1" thickBot="1">
      <c r="A474" s="16" t="s">
        <v>293</v>
      </c>
      <c r="B474" s="6"/>
      <c r="C474" s="6"/>
      <c r="D474" s="6"/>
      <c r="E474" s="6"/>
      <c r="F474" s="6"/>
      <c r="G474" s="54">
        <f>SUM(G453:G473)</f>
        <v>279714373</v>
      </c>
      <c r="I474" s="54">
        <f>SUM(I454:I473)</f>
        <v>271393584</v>
      </c>
      <c r="K474" s="22"/>
    </row>
    <row r="475" spans="1:11" ht="13.5" customHeight="1" thickTop="1">
      <c r="A475" s="16"/>
      <c r="B475" s="6"/>
      <c r="C475" s="6"/>
      <c r="D475" s="6"/>
      <c r="E475" s="6"/>
      <c r="F475" s="6"/>
      <c r="I475" s="18"/>
    </row>
    <row r="476" spans="1:11" ht="13.5" customHeight="1">
      <c r="A476" s="16"/>
      <c r="B476" s="6"/>
      <c r="C476" s="6"/>
      <c r="D476" s="6"/>
      <c r="E476" s="6"/>
      <c r="F476" s="6"/>
      <c r="I476" s="18"/>
      <c r="K476" s="22"/>
    </row>
    <row r="477" spans="1:11" ht="13.5" customHeight="1">
      <c r="A477" s="16"/>
      <c r="B477" s="6"/>
      <c r="C477" s="6"/>
      <c r="D477" s="6"/>
      <c r="E477" s="6"/>
      <c r="F477" s="6"/>
      <c r="I477" s="18"/>
    </row>
    <row r="478" spans="1:11" ht="13.5" customHeight="1">
      <c r="A478" s="16"/>
      <c r="B478" s="6"/>
      <c r="C478" s="6"/>
      <c r="D478" s="6"/>
      <c r="E478" s="6"/>
      <c r="F478" s="6"/>
      <c r="I478" s="18"/>
    </row>
    <row r="479" spans="1:11" ht="13.5" customHeight="1">
      <c r="A479" s="16"/>
      <c r="B479" s="6"/>
      <c r="C479" s="6"/>
      <c r="D479" s="6"/>
      <c r="E479" s="6"/>
      <c r="F479" s="6"/>
      <c r="I479" s="18"/>
    </row>
    <row r="480" spans="1:11" ht="13.5" customHeight="1">
      <c r="A480" s="16"/>
      <c r="B480" s="6"/>
      <c r="C480" s="6"/>
      <c r="D480" s="6"/>
      <c r="E480" s="6"/>
      <c r="F480" s="6"/>
      <c r="I480" s="18"/>
    </row>
    <row r="481" spans="1:9" ht="13.5" customHeight="1">
      <c r="A481" s="16"/>
      <c r="B481" s="6"/>
      <c r="C481" s="6"/>
      <c r="D481" s="6"/>
      <c r="E481" s="6"/>
      <c r="F481" s="6"/>
      <c r="I481" s="18"/>
    </row>
    <row r="482" spans="1:9" ht="13.5" customHeight="1">
      <c r="A482" s="16"/>
      <c r="B482" s="6"/>
      <c r="C482" s="6"/>
      <c r="D482" s="6"/>
      <c r="E482" s="6"/>
      <c r="F482" s="6"/>
      <c r="I482" s="18"/>
    </row>
    <row r="483" spans="1:9" ht="13.5" customHeight="1">
      <c r="A483" s="16"/>
      <c r="B483" s="6"/>
      <c r="C483" s="6"/>
      <c r="D483" s="6"/>
      <c r="E483" s="6"/>
      <c r="F483" s="6"/>
      <c r="I483" s="18"/>
    </row>
    <row r="484" spans="1:9" ht="12.75" customHeight="1">
      <c r="A484" s="16" t="s">
        <v>294</v>
      </c>
      <c r="B484" s="6"/>
      <c r="C484" s="6"/>
      <c r="D484" s="6"/>
      <c r="E484" s="6"/>
      <c r="F484" s="6"/>
      <c r="I484" s="8"/>
    </row>
    <row r="485" spans="1:9" ht="12.75" customHeight="1">
      <c r="A485" s="16"/>
      <c r="B485" s="6"/>
      <c r="C485" s="6"/>
      <c r="D485" s="6"/>
      <c r="E485" s="6"/>
      <c r="F485" s="6"/>
      <c r="I485" s="8"/>
    </row>
    <row r="486" spans="1:9" ht="12.75" customHeight="1">
      <c r="A486" t="s">
        <v>295</v>
      </c>
      <c r="B486" s="6"/>
      <c r="C486" s="6"/>
      <c r="D486" s="6"/>
      <c r="E486" s="6"/>
      <c r="F486" s="6"/>
      <c r="I486" s="8"/>
    </row>
    <row r="487" spans="1:9" ht="12.75" customHeight="1">
      <c r="A487" t="s">
        <v>296</v>
      </c>
      <c r="B487" s="6"/>
      <c r="C487" s="6"/>
      <c r="D487" s="6"/>
      <c r="E487" s="6"/>
      <c r="F487" s="6"/>
      <c r="I487" s="8"/>
    </row>
    <row r="488" spans="1:9" ht="12.75" customHeight="1">
      <c r="A488" s="16"/>
      <c r="B488" s="6"/>
      <c r="C488" s="6"/>
      <c r="D488" s="6"/>
      <c r="E488" s="6"/>
      <c r="F488" s="6"/>
      <c r="I488" s="8"/>
    </row>
    <row r="489" spans="1:9" ht="12.75" customHeight="1">
      <c r="A489" s="6"/>
      <c r="B489" s="6"/>
      <c r="C489" s="6"/>
      <c r="D489" s="6"/>
      <c r="E489" s="6"/>
      <c r="F489" s="6"/>
      <c r="I489" s="8"/>
    </row>
    <row r="490" spans="1:9" ht="12.75" customHeight="1">
      <c r="A490" s="5" t="s">
        <v>297</v>
      </c>
      <c r="B490" s="6"/>
      <c r="C490" s="6"/>
      <c r="D490" s="6"/>
      <c r="E490" s="6"/>
      <c r="F490" s="6"/>
      <c r="G490" s="8">
        <v>3220738</v>
      </c>
      <c r="I490" s="8">
        <v>2568952</v>
      </c>
    </row>
    <row r="491" spans="1:9" ht="12.75" customHeight="1">
      <c r="A491" s="5" t="s">
        <v>298</v>
      </c>
      <c r="B491" s="6"/>
      <c r="C491" s="6"/>
      <c r="D491" s="6"/>
      <c r="E491" s="6"/>
      <c r="F491" s="6"/>
      <c r="G491" s="8">
        <f>70034+38171+2859</f>
        <v>111064</v>
      </c>
      <c r="I491" s="8">
        <f>26920+34670</f>
        <v>61590</v>
      </c>
    </row>
    <row r="492" spans="1:9" ht="12.75" customHeight="1">
      <c r="A492" s="5" t="s">
        <v>299</v>
      </c>
      <c r="B492" s="6"/>
      <c r="C492" s="6"/>
      <c r="D492" s="6"/>
      <c r="E492" s="6"/>
      <c r="F492" s="6"/>
      <c r="G492" s="8">
        <f>6889876-100000-3</f>
        <v>6789873</v>
      </c>
      <c r="I492" s="8">
        <v>5955189</v>
      </c>
    </row>
    <row r="493" spans="1:9" ht="12.75" customHeight="1">
      <c r="A493" s="5" t="s">
        <v>300</v>
      </c>
      <c r="B493" s="6"/>
      <c r="C493" s="6"/>
      <c r="D493" s="6"/>
      <c r="E493" s="6"/>
      <c r="F493" s="6"/>
      <c r="G493" s="8">
        <f>864724+94660-1</f>
        <v>959383</v>
      </c>
      <c r="I493" s="8">
        <f>851505+168000</f>
        <v>1019505</v>
      </c>
    </row>
    <row r="494" spans="1:9" ht="12.75" customHeight="1">
      <c r="A494" s="5" t="s">
        <v>301</v>
      </c>
      <c r="B494" s="6"/>
      <c r="C494" s="6"/>
      <c r="D494" s="6"/>
      <c r="E494" s="6"/>
      <c r="F494" s="6"/>
      <c r="G494" s="8">
        <f>717758+160008+24000+24000</f>
        <v>925766</v>
      </c>
      <c r="I494" s="8">
        <f>1393742+195125+210968+372868+5398+43189</f>
        <v>2221290</v>
      </c>
    </row>
    <row r="495" spans="1:9" ht="12.75" customHeight="1">
      <c r="A495" s="5" t="s">
        <v>302</v>
      </c>
      <c r="B495" s="6"/>
      <c r="C495" s="6"/>
      <c r="D495" s="6"/>
      <c r="E495" s="6"/>
      <c r="F495" s="6"/>
      <c r="G495" s="8">
        <v>2613581</v>
      </c>
      <c r="I495" s="8">
        <v>2096135</v>
      </c>
    </row>
    <row r="496" spans="1:9" ht="12.75" customHeight="1">
      <c r="A496" s="5" t="s">
        <v>303</v>
      </c>
      <c r="B496" s="6"/>
      <c r="C496" s="6"/>
      <c r="D496" s="6"/>
      <c r="E496" s="6"/>
      <c r="F496" s="6"/>
      <c r="G496" s="8">
        <v>1227076</v>
      </c>
      <c r="I496" s="8">
        <v>426490</v>
      </c>
    </row>
    <row r="497" spans="1:10" ht="12.75" customHeight="1">
      <c r="A497" s="5" t="s">
        <v>304</v>
      </c>
      <c r="B497" s="6"/>
      <c r="C497" s="6"/>
      <c r="D497" s="6"/>
      <c r="E497" s="6"/>
      <c r="F497" s="6"/>
      <c r="G497" s="8">
        <v>239316</v>
      </c>
      <c r="I497" s="8">
        <v>363027</v>
      </c>
    </row>
    <row r="498" spans="1:10" ht="12.75" customHeight="1">
      <c r="A498" s="5" t="s">
        <v>305</v>
      </c>
      <c r="B498" s="6"/>
      <c r="C498" s="6"/>
      <c r="D498" s="6"/>
      <c r="E498" s="6"/>
      <c r="F498" s="6"/>
      <c r="G498" s="8">
        <v>6350</v>
      </c>
      <c r="I498" s="8">
        <v>1048600</v>
      </c>
    </row>
    <row r="499" spans="1:10" ht="12.75" customHeight="1">
      <c r="A499" s="5" t="s">
        <v>306</v>
      </c>
      <c r="B499" s="6"/>
      <c r="C499" s="6"/>
      <c r="D499" s="6"/>
      <c r="E499" s="6"/>
      <c r="F499" s="6"/>
      <c r="G499" s="8">
        <f>2832+160229</f>
        <v>163061</v>
      </c>
      <c r="I499" s="8">
        <v>68057</v>
      </c>
    </row>
    <row r="500" spans="1:10" ht="12.75" customHeight="1">
      <c r="A500" s="5" t="s">
        <v>307</v>
      </c>
      <c r="B500" s="6"/>
      <c r="C500" s="6"/>
      <c r="D500" s="6"/>
      <c r="E500" s="6"/>
      <c r="F500" s="6"/>
      <c r="G500" s="8">
        <v>573480</v>
      </c>
      <c r="I500" s="8">
        <v>0</v>
      </c>
    </row>
    <row r="501" spans="1:10" ht="12.75" customHeight="1">
      <c r="A501" s="5" t="s">
        <v>308</v>
      </c>
      <c r="B501" s="6"/>
      <c r="C501" s="6"/>
      <c r="D501" s="6"/>
      <c r="E501" s="6"/>
      <c r="F501" s="6"/>
      <c r="G501" s="8">
        <v>2705754</v>
      </c>
      <c r="I501" s="8">
        <v>3012550</v>
      </c>
      <c r="J501" t="s">
        <v>309</v>
      </c>
    </row>
    <row r="502" spans="1:10" ht="12.75" customHeight="1">
      <c r="A502" s="5" t="s">
        <v>310</v>
      </c>
      <c r="B502" s="6"/>
      <c r="C502" s="6"/>
      <c r="D502" s="6"/>
      <c r="E502" s="6"/>
      <c r="F502" s="6"/>
      <c r="G502" s="8">
        <v>939800</v>
      </c>
      <c r="I502" s="8">
        <v>100000</v>
      </c>
    </row>
    <row r="503" spans="1:10" ht="12.75" customHeight="1">
      <c r="A503" s="5" t="s">
        <v>311</v>
      </c>
      <c r="B503" s="6"/>
      <c r="C503" s="6"/>
      <c r="D503" s="6"/>
      <c r="E503" s="6"/>
      <c r="F503" s="6"/>
      <c r="G503" s="8">
        <v>141600</v>
      </c>
      <c r="I503" s="8">
        <v>663564</v>
      </c>
    </row>
    <row r="504" spans="1:10" ht="12.75" customHeight="1">
      <c r="A504" s="5" t="s">
        <v>312</v>
      </c>
      <c r="B504" s="6"/>
      <c r="C504" s="6"/>
      <c r="D504" s="6"/>
      <c r="E504" s="6"/>
      <c r="F504" s="6"/>
      <c r="G504" s="8">
        <v>2209055</v>
      </c>
      <c r="I504" s="8">
        <f>811279+19997</f>
        <v>831276</v>
      </c>
    </row>
    <row r="505" spans="1:10" ht="13.5" customHeight="1">
      <c r="A505" s="16" t="s">
        <v>313</v>
      </c>
      <c r="B505" s="6"/>
      <c r="C505" s="6"/>
      <c r="D505" s="6"/>
      <c r="E505" s="6"/>
      <c r="F505" s="6"/>
      <c r="G505" s="55">
        <f>SUM(G486:G504)</f>
        <v>22825897</v>
      </c>
      <c r="I505" s="56">
        <f>SUM(I486:I504)</f>
        <v>20436225</v>
      </c>
      <c r="J505" s="19"/>
    </row>
    <row r="506" spans="1:10" ht="14.25" customHeight="1">
      <c r="G506" s="8"/>
    </row>
    <row r="507" spans="1:10" ht="14.25" customHeight="1">
      <c r="A507" s="4" t="s">
        <v>314</v>
      </c>
      <c r="G507" s="11"/>
    </row>
    <row r="508" spans="1:10" ht="14.25" customHeight="1">
      <c r="A508" s="4"/>
      <c r="G508" s="11"/>
    </row>
    <row r="509" spans="1:10" ht="14.25" customHeight="1">
      <c r="A509" t="s">
        <v>315</v>
      </c>
      <c r="G509" s="11"/>
    </row>
    <row r="510" spans="1:10" ht="14.25" customHeight="1">
      <c r="A510" t="s">
        <v>316</v>
      </c>
      <c r="G510" s="11"/>
    </row>
    <row r="511" spans="1:10" ht="14.25" customHeight="1">
      <c r="G511" s="11"/>
    </row>
    <row r="512" spans="1:10" ht="14.25" customHeight="1">
      <c r="A512" t="s">
        <v>317</v>
      </c>
      <c r="G512" s="11">
        <v>613053</v>
      </c>
      <c r="I512" s="11">
        <v>1235655</v>
      </c>
    </row>
    <row r="513" spans="1:11" ht="14.25" customHeight="1">
      <c r="A513" t="s">
        <v>318</v>
      </c>
      <c r="G513" s="11">
        <v>160962</v>
      </c>
      <c r="I513" s="11">
        <v>234485</v>
      </c>
    </row>
    <row r="514" spans="1:11" ht="14.25" customHeight="1">
      <c r="A514" t="s">
        <v>319</v>
      </c>
      <c r="G514" s="11">
        <v>461992</v>
      </c>
      <c r="I514" s="11">
        <v>97244</v>
      </c>
    </row>
    <row r="515" spans="1:11" ht="14.25" customHeight="1">
      <c r="A515" t="s">
        <v>320</v>
      </c>
      <c r="G515" s="11">
        <v>19999997</v>
      </c>
      <c r="I515" s="8">
        <v>18895162</v>
      </c>
      <c r="J515" s="19" t="s">
        <v>309</v>
      </c>
    </row>
    <row r="516" spans="1:11" ht="14.25" customHeight="1">
      <c r="A516" t="s">
        <v>321</v>
      </c>
      <c r="G516" s="8">
        <v>1384079</v>
      </c>
      <c r="I516" s="8">
        <f>1346241+17063</f>
        <v>1363304</v>
      </c>
    </row>
    <row r="517" spans="1:11" ht="14.25" customHeight="1">
      <c r="A517" t="s">
        <v>322</v>
      </c>
      <c r="G517" s="8">
        <v>0</v>
      </c>
      <c r="I517" s="8">
        <v>69874</v>
      </c>
      <c r="J517" s="19"/>
      <c r="K517" s="19"/>
    </row>
    <row r="518" spans="1:11" ht="14.25" customHeight="1">
      <c r="A518" t="s">
        <v>323</v>
      </c>
      <c r="F518" s="8"/>
      <c r="G518" s="8">
        <v>12265338</v>
      </c>
      <c r="I518" s="8">
        <f>5181544+677424+279496+271202+159307+51182+16150+51351+68943-3945745</f>
        <v>2810854</v>
      </c>
    </row>
    <row r="519" spans="1:11" ht="14.25" customHeight="1">
      <c r="A519" t="s">
        <v>324</v>
      </c>
      <c r="G519" s="29">
        <f>307054+227612+1749385+1561011+2098070-2835358+519048</f>
        <v>3626822</v>
      </c>
      <c r="I519" s="29">
        <f>245837+800</f>
        <v>246637</v>
      </c>
      <c r="K519" s="19"/>
    </row>
    <row r="520" spans="1:11" ht="13.5" customHeight="1">
      <c r="A520" s="16" t="s">
        <v>325</v>
      </c>
      <c r="B520" s="6"/>
      <c r="C520" s="6"/>
      <c r="D520" s="6"/>
      <c r="E520" s="6"/>
      <c r="F520" s="6"/>
      <c r="G520" s="29">
        <f>SUM(G512:G519)</f>
        <v>38512243</v>
      </c>
      <c r="I520" s="29">
        <f>SUM(I509:I519)</f>
        <v>24953215</v>
      </c>
      <c r="J520" s="22"/>
    </row>
    <row r="521" spans="1:11" ht="13.5" customHeight="1">
      <c r="A521" s="16"/>
      <c r="B521" s="6"/>
      <c r="C521" s="6"/>
      <c r="D521" s="6"/>
      <c r="E521" s="6"/>
      <c r="F521" s="6"/>
      <c r="G521" s="11"/>
      <c r="J521" s="19"/>
    </row>
    <row r="522" spans="1:11" ht="12.75" customHeight="1">
      <c r="A522" s="16"/>
      <c r="B522" s="6"/>
      <c r="C522" s="6"/>
      <c r="D522" s="6"/>
      <c r="E522" s="6"/>
      <c r="F522" s="6"/>
      <c r="G522" s="11"/>
      <c r="I522" s="18"/>
    </row>
    <row r="523" spans="1:11" ht="12.75" customHeight="1">
      <c r="A523" s="16" t="s">
        <v>326</v>
      </c>
      <c r="B523" s="6"/>
      <c r="C523" s="6"/>
      <c r="D523" s="6"/>
      <c r="E523" s="6"/>
      <c r="F523" s="6"/>
      <c r="G523" s="11"/>
      <c r="I523" s="18"/>
    </row>
    <row r="524" spans="1:11" ht="12.75" customHeight="1">
      <c r="A524" s="16"/>
      <c r="B524" s="6"/>
      <c r="C524" s="6"/>
      <c r="D524" s="6"/>
      <c r="E524" s="6"/>
      <c r="F524" s="6"/>
      <c r="G524" s="11"/>
      <c r="I524" s="18"/>
    </row>
    <row r="525" spans="1:11" ht="12.75" customHeight="1">
      <c r="A525" s="5" t="s">
        <v>327</v>
      </c>
      <c r="B525" s="6"/>
      <c r="C525" s="6"/>
      <c r="D525" s="6"/>
      <c r="E525" s="6"/>
      <c r="F525" s="6"/>
      <c r="G525" s="11"/>
      <c r="I525" s="18"/>
    </row>
    <row r="526" spans="1:11" ht="12.75" customHeight="1">
      <c r="A526" t="s">
        <v>328</v>
      </c>
      <c r="B526" s="6"/>
      <c r="C526" s="6"/>
      <c r="D526" s="6"/>
      <c r="E526" s="6"/>
      <c r="F526" s="6"/>
      <c r="G526" s="11"/>
      <c r="I526" s="18"/>
    </row>
    <row r="527" spans="1:11" ht="12.75" customHeight="1">
      <c r="A527" s="16"/>
      <c r="B527" s="6"/>
      <c r="C527" s="6"/>
      <c r="D527" s="6"/>
      <c r="E527" s="6"/>
      <c r="F527" s="6"/>
      <c r="G527" s="11"/>
      <c r="I527" s="18"/>
    </row>
    <row r="528" spans="1:11" ht="12.75" customHeight="1">
      <c r="A528" s="16"/>
      <c r="B528" s="6"/>
      <c r="C528" s="6"/>
      <c r="D528" s="6"/>
      <c r="E528" s="6"/>
      <c r="F528" s="6"/>
      <c r="G528" s="11"/>
      <c r="I528" s="18"/>
    </row>
    <row r="529" spans="1:9" ht="12.75" customHeight="1">
      <c r="A529" s="16" t="s">
        <v>329</v>
      </c>
      <c r="B529" s="6"/>
      <c r="C529" s="6"/>
      <c r="D529" s="6"/>
      <c r="E529" s="6"/>
      <c r="F529" s="6"/>
      <c r="G529" s="8">
        <v>92857</v>
      </c>
      <c r="I529" s="8">
        <v>92857</v>
      </c>
    </row>
    <row r="530" spans="1:9" ht="12.75" customHeight="1">
      <c r="A530" s="16" t="s">
        <v>330</v>
      </c>
      <c r="B530" s="6"/>
      <c r="C530" s="6"/>
      <c r="D530" s="6"/>
      <c r="E530" s="6"/>
      <c r="F530" s="6"/>
      <c r="G530" s="8">
        <v>618392</v>
      </c>
      <c r="I530" s="8">
        <v>623080</v>
      </c>
    </row>
    <row r="531" spans="1:9" ht="12.75" customHeight="1">
      <c r="A531" s="16" t="s">
        <v>331</v>
      </c>
      <c r="B531" s="16"/>
      <c r="C531" s="6"/>
      <c r="D531" s="6"/>
      <c r="E531" s="6"/>
      <c r="F531" s="6"/>
      <c r="G531" s="8">
        <v>901865</v>
      </c>
      <c r="I531" s="8"/>
    </row>
    <row r="532" spans="1:9" ht="12.75" customHeight="1">
      <c r="A532" s="16" t="s">
        <v>332</v>
      </c>
      <c r="B532" s="6"/>
      <c r="C532" s="6"/>
      <c r="D532" s="6"/>
      <c r="E532" s="6"/>
      <c r="F532" s="6"/>
      <c r="G532" s="8">
        <f>960-960</f>
        <v>0</v>
      </c>
      <c r="I532" s="8">
        <v>916320</v>
      </c>
    </row>
    <row r="533" spans="1:9" ht="12.75" customHeight="1">
      <c r="A533" s="16" t="s">
        <v>333</v>
      </c>
      <c r="B533" s="6"/>
      <c r="C533" s="6"/>
      <c r="D533" s="6"/>
      <c r="E533" s="6"/>
      <c r="F533" s="6"/>
      <c r="G533" s="29">
        <v>0</v>
      </c>
      <c r="I533" s="29">
        <v>12913309</v>
      </c>
    </row>
    <row r="534" spans="1:9" ht="12.75" customHeight="1">
      <c r="A534" s="16" t="s">
        <v>334</v>
      </c>
      <c r="G534" s="8">
        <f>SUM(G525:G533)</f>
        <v>1613114</v>
      </c>
      <c r="I534" s="8">
        <f>SUM(I525:I533)</f>
        <v>14545566</v>
      </c>
    </row>
    <row r="535" spans="1:9" ht="12.75" customHeight="1">
      <c r="A535" s="16"/>
      <c r="G535" s="11"/>
    </row>
    <row r="536" spans="1:9" ht="12.75" customHeight="1">
      <c r="A536" s="16"/>
      <c r="G536" s="11"/>
    </row>
    <row r="537" spans="1:9" ht="12.75" customHeight="1">
      <c r="A537" s="16"/>
      <c r="G537" s="11"/>
    </row>
    <row r="538" spans="1:9" ht="12.75" customHeight="1">
      <c r="A538" s="16"/>
      <c r="G538" s="11"/>
    </row>
    <row r="539" spans="1:9" ht="12.75" customHeight="1">
      <c r="A539" s="16"/>
      <c r="G539" s="11"/>
    </row>
    <row r="540" spans="1:9" ht="12.75" customHeight="1">
      <c r="A540" s="4" t="s">
        <v>335</v>
      </c>
      <c r="G540" s="11"/>
    </row>
    <row r="541" spans="1:9" ht="12.75" customHeight="1">
      <c r="A541" s="4"/>
      <c r="G541" s="11"/>
    </row>
    <row r="542" spans="1:9" ht="12.75" customHeight="1">
      <c r="A542" s="5" t="s">
        <v>336</v>
      </c>
      <c r="B542" s="6"/>
      <c r="C542" s="6"/>
      <c r="D542" s="6"/>
      <c r="E542" s="6"/>
      <c r="F542" s="6"/>
      <c r="G542" s="29">
        <v>2100</v>
      </c>
      <c r="I542" s="29">
        <v>2175</v>
      </c>
    </row>
    <row r="543" spans="1:9" ht="13.5" customHeight="1">
      <c r="A543" s="4" t="s">
        <v>337</v>
      </c>
      <c r="B543" s="6"/>
      <c r="C543" s="6"/>
      <c r="D543" s="6"/>
      <c r="E543" s="6"/>
      <c r="F543" s="6"/>
      <c r="G543" s="25">
        <f>SUM(G538:G542)</f>
        <v>2100</v>
      </c>
      <c r="I543" s="25">
        <f>SUM(I538:I542)</f>
        <v>2175</v>
      </c>
    </row>
    <row r="544" spans="1:9" ht="13.5" customHeight="1"/>
    <row r="545" spans="1:12" ht="13.5" customHeight="1">
      <c r="A545" s="16" t="s">
        <v>338</v>
      </c>
      <c r="G545" s="25">
        <f>+G543+G520+G505+G534+G474</f>
        <v>342667727</v>
      </c>
      <c r="I545" s="25">
        <f>+I543+I520+I505+I534+I474</f>
        <v>331330765</v>
      </c>
      <c r="J545" s="19"/>
    </row>
    <row r="546" spans="1:12" ht="13.5" customHeight="1">
      <c r="A546" s="16"/>
      <c r="I546" s="17"/>
    </row>
    <row r="547" spans="1:12" ht="12.75" customHeight="1">
      <c r="A547" s="4" t="s">
        <v>339</v>
      </c>
      <c r="G547" s="18">
        <f>4182656</f>
        <v>4182656</v>
      </c>
      <c r="I547" s="18">
        <f>5836072</f>
        <v>5836072</v>
      </c>
      <c r="J547" s="19"/>
    </row>
    <row r="548" spans="1:12" ht="12.75" customHeight="1">
      <c r="A548" s="4" t="s">
        <v>340</v>
      </c>
      <c r="G548" s="30">
        <f>221724</f>
        <v>221724</v>
      </c>
      <c r="I548" s="30">
        <f>221724</f>
        <v>221724</v>
      </c>
    </row>
    <row r="549" spans="1:12" ht="12.75" customHeight="1">
      <c r="A549" s="4" t="s">
        <v>341</v>
      </c>
      <c r="G549" s="31">
        <f>SUM(G547:G548)</f>
        <v>4404380</v>
      </c>
      <c r="I549" s="31">
        <f>SUM(I547:I548)</f>
        <v>6057796</v>
      </c>
    </row>
    <row r="550" spans="1:12" ht="12.75" customHeight="1">
      <c r="A550" s="4"/>
      <c r="I550" s="11"/>
    </row>
    <row r="551" spans="1:12" ht="12.75" customHeight="1" thickBot="1">
      <c r="A551" s="4" t="s">
        <v>342</v>
      </c>
      <c r="B551" s="4"/>
      <c r="E551" s="31"/>
      <c r="G551" s="57">
        <f>+G545+G547+G548</f>
        <v>347072107</v>
      </c>
      <c r="I551" s="57">
        <f>+I545+I547+I548</f>
        <v>337388561</v>
      </c>
      <c r="J551" s="13"/>
      <c r="K551" s="19"/>
    </row>
    <row r="552" spans="1:12" ht="12.75" customHeight="1" thickTop="1">
      <c r="A552" s="4"/>
      <c r="B552" s="4"/>
      <c r="E552" s="31"/>
      <c r="G552" s="17"/>
      <c r="I552" s="17"/>
      <c r="J552" s="19"/>
      <c r="L552" s="19"/>
    </row>
    <row r="553" spans="1:12" ht="12.75" customHeight="1">
      <c r="A553" s="4"/>
      <c r="B553" s="4"/>
      <c r="E553" s="31"/>
      <c r="G553" s="17"/>
      <c r="I553" s="17"/>
      <c r="J553" s="13"/>
      <c r="L553" s="19"/>
    </row>
    <row r="554" spans="1:12" ht="12.75" customHeight="1">
      <c r="A554" s="4"/>
      <c r="B554" s="4"/>
      <c r="E554" s="31"/>
      <c r="G554" s="17"/>
      <c r="I554" s="17"/>
      <c r="J554" s="13"/>
      <c r="L554" s="19"/>
    </row>
    <row r="555" spans="1:12" ht="12.75" customHeight="1">
      <c r="A555" s="4"/>
      <c r="B555" s="4"/>
      <c r="E555" s="31"/>
      <c r="G555" s="17"/>
      <c r="I555" s="17"/>
      <c r="J555" s="13"/>
      <c r="L555" s="19"/>
    </row>
    <row r="556" spans="1:12" ht="12.75" customHeight="1">
      <c r="A556" s="4"/>
      <c r="B556" s="4"/>
      <c r="E556" s="31"/>
      <c r="H556" s="31"/>
      <c r="I556" s="13"/>
    </row>
    <row r="557" spans="1:12" ht="12.75" customHeight="1">
      <c r="A557" s="4"/>
      <c r="B557" s="4"/>
      <c r="E557" s="4"/>
      <c r="G557" s="4"/>
      <c r="H557" s="4"/>
    </row>
    <row r="558" spans="1:12" ht="12.75" customHeight="1">
      <c r="A558" s="4" t="s">
        <v>343</v>
      </c>
      <c r="B558" s="4"/>
      <c r="D558" s="4" t="s">
        <v>344</v>
      </c>
      <c r="F558" s="5"/>
      <c r="G558" s="5"/>
      <c r="H558" s="4" t="s">
        <v>345</v>
      </c>
    </row>
    <row r="559" spans="1:12" ht="12.75" customHeight="1">
      <c r="A559" s="21" t="s">
        <v>346</v>
      </c>
      <c r="B559" s="5"/>
      <c r="C559" s="5"/>
      <c r="D559" s="4" t="s">
        <v>347</v>
      </c>
      <c r="E559" s="4"/>
      <c r="F559" s="4"/>
      <c r="G559" s="4"/>
      <c r="H559" s="4" t="s">
        <v>348</v>
      </c>
    </row>
    <row r="560" spans="1:12" ht="12.75" customHeight="1">
      <c r="A560" s="21"/>
      <c r="B560" s="5"/>
      <c r="C560" s="5"/>
      <c r="D560" s="4"/>
      <c r="E560" s="4"/>
      <c r="F560" s="4"/>
    </row>
    <row r="561" spans="1:7" ht="12.75" customHeight="1">
      <c r="A561" s="4"/>
      <c r="B561" s="4"/>
      <c r="D561" s="4"/>
      <c r="E561" s="4"/>
      <c r="F561" s="4"/>
    </row>
    <row r="562" spans="1:7" ht="12.75" customHeight="1">
      <c r="A562" s="4"/>
      <c r="B562" s="4"/>
      <c r="D562" s="4"/>
      <c r="E562" s="4"/>
      <c r="F562" s="4"/>
    </row>
    <row r="563" spans="1:7" ht="12.75" customHeight="1">
      <c r="A563" s="4"/>
      <c r="B563" s="4"/>
      <c r="D563" s="4"/>
      <c r="E563" s="4"/>
      <c r="F563" s="4"/>
    </row>
    <row r="564" spans="1:7" ht="12.75" customHeight="1">
      <c r="A564" s="4"/>
      <c r="B564" s="4"/>
      <c r="D564" s="4"/>
      <c r="E564" s="4"/>
      <c r="F564" s="4"/>
    </row>
    <row r="565" spans="1:7" ht="12.75" customHeight="1">
      <c r="A565" s="4"/>
      <c r="B565" s="4"/>
      <c r="E565" s="4"/>
      <c r="F565" s="4"/>
      <c r="G565" s="4"/>
    </row>
    <row r="566" spans="1:7" ht="12.75" customHeight="1">
      <c r="A566" s="4"/>
      <c r="B566" s="4"/>
      <c r="E566" s="4"/>
      <c r="F566" s="4"/>
      <c r="G566" s="4"/>
    </row>
    <row r="567" spans="1:7" ht="12.75" customHeight="1">
      <c r="A567" s="4"/>
      <c r="B567" s="4"/>
      <c r="E567" s="4"/>
      <c r="F567" s="4"/>
      <c r="G567" s="4"/>
    </row>
  </sheetData>
  <mergeCells count="4">
    <mergeCell ref="A2:I2"/>
    <mergeCell ref="A3:I3"/>
    <mergeCell ref="A4:I4"/>
    <mergeCell ref="A5:I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ESTADOS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keyla Hernandez</cp:lastModifiedBy>
  <dcterms:created xsi:type="dcterms:W3CDTF">2023-01-16T17:32:30Z</dcterms:created>
  <dcterms:modified xsi:type="dcterms:W3CDTF">2023-01-23T17:38:01Z</dcterms:modified>
</cp:coreProperties>
</file>