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JUNIO 2023\"/>
    </mc:Choice>
  </mc:AlternateContent>
  <xr:revisionPtr revIDLastSave="0" documentId="13_ncr:1_{436B2D42-3CF6-4628-BB66-5799420210DA}" xr6:coauthVersionLast="47" xr6:coauthVersionMax="47" xr10:uidLastSave="{00000000-0000-0000-0000-000000000000}"/>
  <bookViews>
    <workbookView xWindow="-120" yWindow="-120" windowWidth="29040" windowHeight="15840" xr2:uid="{CEFB909A-992F-4BED-B68F-CA14592527D6}"/>
  </bookViews>
  <sheets>
    <sheet name="Notas Estad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5" i="1" l="1"/>
  <c r="G535" i="1"/>
  <c r="I534" i="1"/>
  <c r="G534" i="1"/>
  <c r="I528" i="1"/>
  <c r="G528" i="1"/>
  <c r="G520" i="1"/>
  <c r="G517" i="1"/>
  <c r="I515" i="1"/>
  <c r="I517" i="1" s="1"/>
  <c r="I520" i="1" s="1"/>
  <c r="G505" i="1"/>
  <c r="G504" i="1"/>
  <c r="I502" i="1"/>
  <c r="I506" i="1" s="1"/>
  <c r="I530" i="1" s="1"/>
  <c r="I536" i="1" s="1"/>
  <c r="I500" i="1"/>
  <c r="I499" i="1"/>
  <c r="G499" i="1"/>
  <c r="G506" i="1" s="1"/>
  <c r="I490" i="1"/>
  <c r="G490" i="1"/>
  <c r="I486" i="1"/>
  <c r="G482" i="1"/>
  <c r="I481" i="1"/>
  <c r="I491" i="1" s="1"/>
  <c r="G481" i="1"/>
  <c r="G478" i="1"/>
  <c r="G491" i="1" s="1"/>
  <c r="G467" i="1"/>
  <c r="I463" i="1"/>
  <c r="G463" i="1"/>
  <c r="I462" i="1"/>
  <c r="G462" i="1"/>
  <c r="I461" i="1"/>
  <c r="G461" i="1"/>
  <c r="I460" i="1"/>
  <c r="G460" i="1"/>
  <c r="I457" i="1"/>
  <c r="G457" i="1"/>
  <c r="G455" i="1"/>
  <c r="I453" i="1"/>
  <c r="G453" i="1"/>
  <c r="I451" i="1"/>
  <c r="I467" i="1" s="1"/>
  <c r="G451" i="1"/>
  <c r="I436" i="1"/>
  <c r="G436" i="1"/>
  <c r="I432" i="1"/>
  <c r="I438" i="1" s="1"/>
  <c r="G432" i="1"/>
  <c r="G438" i="1" s="1"/>
  <c r="I415" i="1"/>
  <c r="I403" i="1"/>
  <c r="G403" i="1"/>
  <c r="G402" i="1"/>
  <c r="G401" i="1"/>
  <c r="I389" i="1"/>
  <c r="I391" i="1" s="1"/>
  <c r="G389" i="1"/>
  <c r="G380" i="1"/>
  <c r="G391" i="1" s="1"/>
  <c r="I378" i="1"/>
  <c r="I380" i="1" s="1"/>
  <c r="I373" i="1"/>
  <c r="G373" i="1"/>
  <c r="I345" i="1"/>
  <c r="I337" i="1"/>
  <c r="G337" i="1"/>
  <c r="G336" i="1"/>
  <c r="G345" i="1" s="1"/>
  <c r="I321" i="1"/>
  <c r="I322" i="1" s="1"/>
  <c r="I343" i="1" s="1"/>
  <c r="I347" i="1" s="1"/>
  <c r="G321" i="1"/>
  <c r="G322" i="1" s="1"/>
  <c r="I308" i="1"/>
  <c r="G306" i="1"/>
  <c r="I300" i="1"/>
  <c r="I301" i="1" s="1"/>
  <c r="G300" i="1"/>
  <c r="I293" i="1"/>
  <c r="G293" i="1"/>
  <c r="G301" i="1" s="1"/>
  <c r="I285" i="1"/>
  <c r="G285" i="1"/>
  <c r="G304" i="1" s="1"/>
  <c r="I277" i="1"/>
  <c r="G277" i="1"/>
  <c r="I244" i="1"/>
  <c r="G244" i="1"/>
  <c r="I241" i="1"/>
  <c r="G241" i="1"/>
  <c r="G234" i="1"/>
  <c r="G267" i="1" s="1"/>
  <c r="I233" i="1"/>
  <c r="I234" i="1" s="1"/>
  <c r="I267" i="1" s="1"/>
  <c r="G233" i="1"/>
  <c r="I222" i="1"/>
  <c r="G222" i="1"/>
  <c r="I205" i="1"/>
  <c r="G205" i="1"/>
  <c r="G198" i="1"/>
  <c r="I192" i="1"/>
  <c r="I198" i="1" s="1"/>
  <c r="G192" i="1"/>
  <c r="I179" i="1"/>
  <c r="G179" i="1"/>
  <c r="G175" i="1"/>
  <c r="I166" i="1"/>
  <c r="G166" i="1"/>
  <c r="G78" i="1"/>
  <c r="I75" i="1"/>
  <c r="I78" i="1" s="1"/>
  <c r="G75" i="1"/>
  <c r="I68" i="1"/>
  <c r="G68" i="1"/>
  <c r="I56" i="1"/>
  <c r="I70" i="1" s="1"/>
  <c r="G56" i="1"/>
  <c r="G70" i="1" s="1"/>
  <c r="I32" i="1"/>
  <c r="G32" i="1"/>
  <c r="I22" i="1"/>
  <c r="G22" i="1"/>
  <c r="G343" i="1" l="1"/>
  <c r="G308" i="1"/>
  <c r="I80" i="1"/>
  <c r="I352" i="1" s="1"/>
  <c r="G80" i="1"/>
  <c r="G530" i="1"/>
  <c r="G536" i="1" s="1"/>
  <c r="G347" i="1" l="1"/>
  <c r="H356" i="1" l="1"/>
  <c r="G352" i="1"/>
</calcChain>
</file>

<file path=xl/sharedStrings.xml><?xml version="1.0" encoding="utf-8"?>
<sst xmlns="http://schemas.openxmlformats.org/spreadsheetml/2006/main" count="343" uniqueCount="324">
  <si>
    <t>INSTITUTO DEL TABACO DE LA REPUBLICA DOMINICANA</t>
  </si>
  <si>
    <t>Notas a Los Estados Financieros</t>
  </si>
  <si>
    <t>Al 30 de Junio 2023 Y 2022</t>
  </si>
  <si>
    <t>VALORES EN RD $</t>
  </si>
  <si>
    <t>ACTIVOS CORRIENTES</t>
  </si>
  <si>
    <t>Efectivo y equivalente efectivo (Nota7)</t>
  </si>
  <si>
    <t>AL 30 de Junio del 2023 y 2022 los balance en las cuentas de banco de reservas y disponibilidad en</t>
  </si>
  <si>
    <t>Tesorería nacional es como sigue</t>
  </si>
  <si>
    <t>Sub-Cuenta Disponibilidad Tesoreria Nacional</t>
  </si>
  <si>
    <t>Cuenta Unica Tesoro</t>
  </si>
  <si>
    <t>Banco de Reservas - Cta. General (120-500014-0)</t>
  </si>
  <si>
    <t>Total Efectivo en Caja y Bancos</t>
  </si>
  <si>
    <t xml:space="preserve">Cuentas Por Cobrar corto plazo (Nota 8) </t>
  </si>
  <si>
    <t>Un detalle de La Cuenta  por  Cobrar  al 30 de Junio 2022 y 2021 es como sigue</t>
  </si>
  <si>
    <t>Esta cuenta por cobrar se genera por venta a credito de agroquimico,madera a cosecheros</t>
  </si>
  <si>
    <t>CxC Clientes</t>
  </si>
  <si>
    <t>Total Cuentas Por Cobrar</t>
  </si>
  <si>
    <t>INVENTARIOS (Nota 9)</t>
  </si>
  <si>
    <t>Un detalle  de los bienes de cambio al 30 de Junio 2023 y 2022, es como sigue</t>
  </si>
  <si>
    <t>Inventario en Almacenes:</t>
  </si>
  <si>
    <t>Abonos y Fertizantes - Almacén No. 1</t>
  </si>
  <si>
    <t>Inv. Bombas de Fumigar Mochilas</t>
  </si>
  <si>
    <t>Inv. Medicamentos Veterinarios</t>
  </si>
  <si>
    <t>Inventario Tabaco Almacen No. 5</t>
  </si>
  <si>
    <t>Inv de Plantulas</t>
  </si>
  <si>
    <t>Inv. Tabaco en Proceso</t>
  </si>
  <si>
    <t>Materiales e implementos</t>
  </si>
  <si>
    <t>Inventario Gral Fab. Cigarros</t>
  </si>
  <si>
    <t>Inventario de Madera en Almacén</t>
  </si>
  <si>
    <t>Inv. Cultivo Alternativo Maiz</t>
  </si>
  <si>
    <t>Inv. Alternativo Semillas</t>
  </si>
  <si>
    <t>Inv. Tabaco en Rama</t>
  </si>
  <si>
    <t>Total Existencia de bienes de cambio y consumo</t>
  </si>
  <si>
    <t>Inventario de Consumo</t>
  </si>
  <si>
    <t>La cuenta de Materiales y Suministro esta compuesta por Bienes de Uso de la institución cuyos montos</t>
  </si>
  <si>
    <t>Fueron levantados a través de los informes de cierre mensual por valor de RD$ 2,318,,323.00 y 2,318,323.00</t>
  </si>
  <si>
    <t>respectivamente.</t>
  </si>
  <si>
    <t>Suministro Materiales de Oficina</t>
  </si>
  <si>
    <t>Suministro Materiales de Limpieza</t>
  </si>
  <si>
    <t>Suministro Materiales e Implementos</t>
  </si>
  <si>
    <t>Inventario del Taller</t>
  </si>
  <si>
    <t>Total de Inventario de consumo</t>
  </si>
  <si>
    <t>Total Gral. Inventarios</t>
  </si>
  <si>
    <t>Pagados Por Anticipado (Nota 10)</t>
  </si>
  <si>
    <t>Seguros Pagados Por Anticipado</t>
  </si>
  <si>
    <t>Total de Seguros Pagados Por Anticipado</t>
  </si>
  <si>
    <t>Total Gastos Anticipados</t>
  </si>
  <si>
    <t>Total Activos Corrientes</t>
  </si>
  <si>
    <t>Activos No Corrientes</t>
  </si>
  <si>
    <t>Propiedad Planta y Equipo (Nota 11 )</t>
  </si>
  <si>
    <t xml:space="preserve">Los Balances de la cuenta de bienes de uso al 30 de Junio 2023 y 2022 los cuales detallamos a </t>
  </si>
  <si>
    <t>continuación:</t>
  </si>
  <si>
    <t>TERRENOS</t>
  </si>
  <si>
    <t>Terrenos Pre-Urbanizables de la Estación Quinigua:</t>
  </si>
  <si>
    <t>Una porción de terreno urbano dentro de la parcela No. 104, del D. C.  No. 2,</t>
  </si>
  <si>
    <t>según certificado de titulo No.149, anotación  No. 4, comprado al Sr.  Antonio</t>
  </si>
  <si>
    <t>Francisco Rojas a nombre del Instituto del Tabaco de la Republica Dominica</t>
  </si>
  <si>
    <t>na, con una extensión superficial de cincuenta  ( 50 )  tareas, a razón de RD</t>
  </si>
  <si>
    <t>$ 61,904.76  pesos cada una,  para un total de………………………………….</t>
  </si>
  <si>
    <t>Una porción de terreno rural dentro de la parcela No.  104,  del D. C.  No.2,</t>
  </si>
  <si>
    <t>según certificado de  titulo  No. 149,  anotación No. 4,  comprado  al  Señor</t>
  </si>
  <si>
    <t>Antonio Francisco Rojas a nombre del Estado Dominicano,  con una exten-</t>
  </si>
  <si>
    <t>sión superficial de treinta y nueve  ( 39 )  tareas, a razón de RD$ 63,015.87</t>
  </si>
  <si>
    <t>pesos cada una, para un total de………………………………………………..</t>
  </si>
  <si>
    <t>Terrenos Rurales de la Estación Quinigua:</t>
  </si>
  <si>
    <t>Una porción de terreno rural,  dentro de la parcela No. 104  del D. C.  No. 2,</t>
  </si>
  <si>
    <t>según  certificado  de titulo No. 149,  anotación No. 4,  comprando al  Señor</t>
  </si>
  <si>
    <t>Antonio Francisco Rojas a nombre del  Instituto del Tabaco de la  República</t>
  </si>
  <si>
    <t>Dominicana, con una extensión superficial de cincuenta (50) tareas, a razón</t>
  </si>
  <si>
    <t>de RD$ 30,952.38 pesos cada una, para un total de…………………………..</t>
  </si>
  <si>
    <t>Una porción de terreno rural dentro de la parcela No. 104 del D. C.  No. 2,</t>
  </si>
  <si>
    <t>según certificado de titulo No. 149,  anotación No. 4, comprando al Señor</t>
  </si>
  <si>
    <t>Antonio Francisco Rojas a nombre del Estado Dominicano con una exten</t>
  </si>
  <si>
    <t>sión superficial de nueve punto noventa y uno   ( 9.91 )  tareas, a razón de</t>
  </si>
  <si>
    <t>RD$ 30,952.38 pesos cada una, para un total de………………………………</t>
  </si>
  <si>
    <t>Una porción de terreno rural,  dentro de la parcela No. 115  del D. C.  No. 2,</t>
  </si>
  <si>
    <t>según certificado de titulo no. 118, anotación no. 3, comprando a la Señora</t>
  </si>
  <si>
    <t>Teresa Almonte a nombre del Estado Dominicano con una extension super</t>
  </si>
  <si>
    <t>ficial de veinte punto setenta y dos  (20.72) tareas, a razón de RD$12,380.95</t>
  </si>
  <si>
    <t>pesos cada una, para un total de…………………………………………………</t>
  </si>
  <si>
    <t>Una porción de terreno rural dentro de la parcela  No. 115  del D. C.  No. 2,</t>
  </si>
  <si>
    <t>ficial de ciento Treinta punto setenta y seis  (130.76) tareas, a razón de RD$</t>
  </si>
  <si>
    <t>12, 380.95 pesos cada una, para un total de…………………………………….</t>
  </si>
  <si>
    <t>Terreno en Cotuí</t>
  </si>
  <si>
    <t>Una porción de terreno rural,  dentro de la parcela  No. 90  del D. C.  No. 17,</t>
  </si>
  <si>
    <t>según asentamiento AC-097, ubicado en la sección Quita Sueño, del Munici</t>
  </si>
  <si>
    <t>pio de Cotuí, Comprada al Sr. Juan Manzueta, a nombre del Instituto Agrario</t>
  </si>
  <si>
    <t>Dominicano, Con un total de  36.08  tareas, a razón de RD$2,771.62 pesos</t>
  </si>
  <si>
    <t>cada una, para un total de…………………………………………………………</t>
  </si>
  <si>
    <t>Total de Terrenos Rurales y Pre-Urbanos Quinigua y Cotuí</t>
  </si>
  <si>
    <t>EDIFICACION</t>
  </si>
  <si>
    <t>Edificacion Inmobiliaria - Valor Mejora</t>
  </si>
  <si>
    <t>Estacion Experimental Quinigua</t>
  </si>
  <si>
    <t>Edificio Oficina Principal - Quinigua</t>
  </si>
  <si>
    <t>Edificio Laboratorio y Sala Conferencia</t>
  </si>
  <si>
    <t>Edificio Investigacion</t>
  </si>
  <si>
    <t>Verjas y Pavimentos</t>
  </si>
  <si>
    <t>Utensilios Menores</t>
  </si>
  <si>
    <t>Estacion Experimental Yamasa</t>
  </si>
  <si>
    <t>Edificios</t>
  </si>
  <si>
    <t>Alambradas</t>
  </si>
  <si>
    <t>Caseta Motobomba</t>
  </si>
  <si>
    <t>Otras Construccion y Mejoras</t>
  </si>
  <si>
    <t>Estacion Experimental Cotui</t>
  </si>
  <si>
    <t>Estacion Experimental La Canela</t>
  </si>
  <si>
    <t>Total Edificaciones Inmobiliarias - Valor Mejora</t>
  </si>
  <si>
    <t>Mobiliario y Equipo de Oficina</t>
  </si>
  <si>
    <t>Oficinas Central de Quinigua</t>
  </si>
  <si>
    <t>Edificio de Investigacion</t>
  </si>
  <si>
    <t>Edificio Estacion, Laboratorio y Sala de Conferencia</t>
  </si>
  <si>
    <t>Total Mobiliario y Equipo Oficina</t>
  </si>
  <si>
    <t>Maquinarias Agricolas, Transporte y Generación</t>
  </si>
  <si>
    <t>Estacion Quinigua</t>
  </si>
  <si>
    <t>Tractores</t>
  </si>
  <si>
    <t>Plantas Electricas</t>
  </si>
  <si>
    <t>Maquina para pozo tubular</t>
  </si>
  <si>
    <t>Vehiculos de Transporte</t>
  </si>
  <si>
    <t>Otros Vehiculos al servicio de la Institucion</t>
  </si>
  <si>
    <t>Bomba de Riego</t>
  </si>
  <si>
    <t>Sistema de riego por goteo</t>
  </si>
  <si>
    <t>Estacion Yamasa</t>
  </si>
  <si>
    <t>Estacion La Isabela</t>
  </si>
  <si>
    <t>Estacion Cotui</t>
  </si>
  <si>
    <t>Total</t>
  </si>
  <si>
    <t>Utensilios Agricolas</t>
  </si>
  <si>
    <t>Estación Quinigua</t>
  </si>
  <si>
    <t>Estación Cotuí</t>
  </si>
  <si>
    <t>Estacion La Canela</t>
  </si>
  <si>
    <t>Estación Yamasa</t>
  </si>
  <si>
    <t>Total Utensilios Agrícolas</t>
  </si>
  <si>
    <t xml:space="preserve">RANCHOS  </t>
  </si>
  <si>
    <t>Estacion Central Quinigua</t>
  </si>
  <si>
    <t>Rancho Almacen No.1</t>
  </si>
  <si>
    <t>Rancho Almacen No.2</t>
  </si>
  <si>
    <t>Rancho Almacen No.3</t>
  </si>
  <si>
    <t>Rancho Almacen No.4</t>
  </si>
  <si>
    <t>Rancho Almacen No.5</t>
  </si>
  <si>
    <t>Rancho Almacen No.6</t>
  </si>
  <si>
    <t>Rancho Almacen No.7</t>
  </si>
  <si>
    <t>Rancho Almacen No.8</t>
  </si>
  <si>
    <t>Rancho Almacen No.9</t>
  </si>
  <si>
    <t>Rancho Almacen No.10</t>
  </si>
  <si>
    <t>Rancho Almacen No.11</t>
  </si>
  <si>
    <t>Almacen (Cuarto) Deposito Utensilios</t>
  </si>
  <si>
    <t>Comedor Quin Diaz (Obrero)</t>
  </si>
  <si>
    <t>Total Rancho Quinigua</t>
  </si>
  <si>
    <t>Rancho y Deposito de Cotuí</t>
  </si>
  <si>
    <t>Un rancho de 101 pies de Ancho, techado de cana y zinc sobre la cana,</t>
  </si>
  <si>
    <t>cercado de tabla, sin piso, ensamblado en madera de pino duro, con diez</t>
  </si>
  <si>
    <t>aposentos, con capacidad para dos mil quinientos cujes</t>
  </si>
  <si>
    <t>Un anexo al Rancho, con las mismas especifiaciones de construcción que</t>
  </si>
  <si>
    <t>el rancho, pero con piso de cemento, dividido en una oficina, un cuarto de</t>
  </si>
  <si>
    <t>equipamiento y un deposito………………………………………………………..</t>
  </si>
  <si>
    <t>Rancho No. 2</t>
  </si>
  <si>
    <t>Valor Total del Rancho y Deposito de Cotuí</t>
  </si>
  <si>
    <t>Ranchos Estacion La Canela</t>
  </si>
  <si>
    <t>Rancho Almacen No. 1</t>
  </si>
  <si>
    <t>Rancho Almacen No. 5</t>
  </si>
  <si>
    <t>Almacen Para Insumos y Equipos Agricolas</t>
  </si>
  <si>
    <t>Total Ranchos y Almacnes La Canela</t>
  </si>
  <si>
    <t>Ranchos Estacion La Isabela</t>
  </si>
  <si>
    <t>Total Ranchos La Isabela</t>
  </si>
  <si>
    <t>Ranchos Proyectos Los Pinos</t>
  </si>
  <si>
    <t>Ranchos de Yamasa</t>
  </si>
  <si>
    <t>Caracteristicas Rancho 1 y 2</t>
  </si>
  <si>
    <t>Rancho tipo cubano, para secado de tabaco para capa, ambiente controlado,</t>
  </si>
  <si>
    <t>madera dura, distribucion de 10 aposentos a 8 pies cada uno,  cimentado a</t>
  </si>
  <si>
    <t>dos y tres lineas de block,  techado en cana y zinc,  puertas  y  ventanas en</t>
  </si>
  <si>
    <t>madera y zinc liso, medidas 31.90 metros  de largo  11.89 metros de ancho</t>
  </si>
  <si>
    <t>y 20 pies de alto.</t>
  </si>
  <si>
    <t>Características Rancho 3 , 4, 6 y 7</t>
  </si>
  <si>
    <t>madera dura, distribucion de 16 aposentos a 6 pies cada uno,  cimentado a</t>
  </si>
  <si>
    <t>dos y tres lineas de block,  techado en cana y zinc, cercado todo en zinc,</t>
  </si>
  <si>
    <t xml:space="preserve">puertas y ventanas en madera y zinc liso, medidas 31.50 metros  de largo  </t>
  </si>
  <si>
    <t>11.89 metros de ancho y 35 pies de alto, medidas alerón en ranchos 3 y 4</t>
  </si>
  <si>
    <t>6.10 metros de ancho y 31.50 de largo</t>
  </si>
  <si>
    <t>Sub-Total</t>
  </si>
  <si>
    <t>Total Almacen y Ranchos de Tabaco</t>
  </si>
  <si>
    <t>VIVEROS E INVERNANDEROS</t>
  </si>
  <si>
    <t>Viveros e Invernaderos Quinigua</t>
  </si>
  <si>
    <t>Invernadero Yamasa</t>
  </si>
  <si>
    <t>Invernadero Hato al Medio</t>
  </si>
  <si>
    <t>Invernadero Mao</t>
  </si>
  <si>
    <t>Total Viveros e Inveranderos</t>
  </si>
  <si>
    <t>Utensilios y Equipos de Cocina</t>
  </si>
  <si>
    <t>Electricos y de Gas</t>
  </si>
  <si>
    <t>Mesas y sillas</t>
  </si>
  <si>
    <t>Total Estacion Central Quinigua</t>
  </si>
  <si>
    <t>EQUIPOS DE INVESTIGACION</t>
  </si>
  <si>
    <t>Equipos Climatico</t>
  </si>
  <si>
    <t>Otros Activos</t>
  </si>
  <si>
    <t>Caballos</t>
  </si>
  <si>
    <t>Libros de Textos</t>
  </si>
  <si>
    <t>Celulares Flotas</t>
  </si>
  <si>
    <t>Stamd Exibidor Proy. Ecoturistico Cumbre</t>
  </si>
  <si>
    <t>Herramientas y Equipos de Taller</t>
  </si>
  <si>
    <t>Equipos Consultorio Medicos</t>
  </si>
  <si>
    <t>Tina para Crianero de Lombirces</t>
  </si>
  <si>
    <t>Otros</t>
  </si>
  <si>
    <t>Total Bienes de Uso</t>
  </si>
  <si>
    <t>Menos Depreciacion Acumulada</t>
  </si>
  <si>
    <t>Neto Bienes de Uso</t>
  </si>
  <si>
    <t xml:space="preserve">Otros Activos Fijos </t>
  </si>
  <si>
    <t>OTRAS CONSTUCCIONES</t>
  </si>
  <si>
    <t>Estacion Exp. Quinigua</t>
  </si>
  <si>
    <t>Poyecto Tabaco Criollo</t>
  </si>
  <si>
    <t>Total de Construcción en Proceso</t>
  </si>
  <si>
    <t>AMPLIACION DE OFICINAS QUE SE INICIARON EN 2016 Y AUN NO SE LE HA DADO TERMINACION</t>
  </si>
  <si>
    <t>POR ESO ESTAN COMO CONSTRUCCION EN PROCESO</t>
  </si>
  <si>
    <t>Intangible ( Nota 12)</t>
  </si>
  <si>
    <t>Los Balances de Bienes Intangible están compuesto por un sistema de contabilidad computarizado  y</t>
  </si>
  <si>
    <t>paquetes de computos  2022 y 2021 y marca de fabrica de cigarros Dominicanos</t>
  </si>
  <si>
    <t>Cigardom registrado en los Estados Unidos y Europa   respectivamante.</t>
  </si>
  <si>
    <t>Programa de Contabilidad y Marca de fabrica</t>
  </si>
  <si>
    <t>Menos Amortizacion</t>
  </si>
  <si>
    <t>Total Intangible</t>
  </si>
  <si>
    <t>Total Activos No Corrientes</t>
  </si>
  <si>
    <t>Activos no Corrientes en uso neto</t>
  </si>
  <si>
    <t>Total Activos</t>
  </si>
  <si>
    <t>PASIVOS CORRIENTES</t>
  </si>
  <si>
    <t>Cuentas Por Pagar Suplidores  corto plazo (Nota13)</t>
  </si>
  <si>
    <t>Los balances de las cuentas por pagar suplidores al 30 de junio 2023 y  2022 es como sigue</t>
  </si>
  <si>
    <t>Cuentas Por Pagar Suplidores</t>
  </si>
  <si>
    <t>Retenciones Por Pagar  (Nota 14)</t>
  </si>
  <si>
    <t>Los Balances de las retenciones por pagar al 30 de Junio 2023 y 2022 es como sigue</t>
  </si>
  <si>
    <t>Retenciones a Empleados - Seguro de Vejez</t>
  </si>
  <si>
    <t>Ret.ITBIS Persona Fisica</t>
  </si>
  <si>
    <t>Ret.  a Proveedores</t>
  </si>
  <si>
    <t>Retención a empleados Seguro de Salud</t>
  </si>
  <si>
    <t>Total Retenciones por Pagar</t>
  </si>
  <si>
    <t>Otras Pasivos Corrientes (Nota 15)</t>
  </si>
  <si>
    <t>Plan de Retiro e Indemnización</t>
  </si>
  <si>
    <t>Otros Gastos Acum. Por Pagar</t>
  </si>
  <si>
    <t>Servicios por Pagar</t>
  </si>
  <si>
    <t>Total de Otros Pasivos Por Pagar</t>
  </si>
  <si>
    <t xml:space="preserve">Documento Por Pagar Largo Plazo (Nota 16)                        </t>
  </si>
  <si>
    <t>Los balances de documentos por pagar largo plazo al 30 de Junio 2023 y 2022 es como sigue</t>
  </si>
  <si>
    <t>Banco Agricola</t>
  </si>
  <si>
    <t>Total Documento Por Pagar</t>
  </si>
  <si>
    <t>Total General Cuentas por Pagar</t>
  </si>
  <si>
    <t>PATRIMONIO (Nota 17)</t>
  </si>
  <si>
    <t>Los balances del patrimonio al 30 de Junio 2022 y 2021 es como sigue</t>
  </si>
  <si>
    <t>Patrimonio Institucional</t>
  </si>
  <si>
    <t>Resultados Acum. Años Anteriores</t>
  </si>
  <si>
    <t>Resultado Estado B</t>
  </si>
  <si>
    <t>Total Patrimonio</t>
  </si>
  <si>
    <t>Ingresos (Nota 18)</t>
  </si>
  <si>
    <t>Del Gobierno Central</t>
  </si>
  <si>
    <t xml:space="preserve">Los ingresos del gobierno central estan compuesto por asignacion presupuestaria, Ingresos  </t>
  </si>
  <si>
    <t>de la presidencia y partida extra presupuestaria al 30 de junio 2023 y 2022 es como sigue</t>
  </si>
  <si>
    <t>Transferencias y Donaciones Corrientes Ministro Agricultura</t>
  </si>
  <si>
    <t>Ingresos por Contraprestaciones (Nota 19)</t>
  </si>
  <si>
    <t>Ingresos Ventas</t>
  </si>
  <si>
    <t>Los Otros ingresos son proveniente de ventas y proyectos cosechas tabacos al 30 Junio</t>
  </si>
  <si>
    <t>2023 y 2022.es como sigue</t>
  </si>
  <si>
    <t>Ingresos por Venta de Agroquimicos</t>
  </si>
  <si>
    <t>Ingresos por Venta de Tabaco</t>
  </si>
  <si>
    <t>Ingresos por Venta de Madera</t>
  </si>
  <si>
    <t>Otros Ingresos (Nota 20)</t>
  </si>
  <si>
    <t>Total otros Ingresos</t>
  </si>
  <si>
    <t>Total de Ingresos</t>
  </si>
  <si>
    <t>Sueldos Salarios y Beneficios a Empleados (Nota 21)</t>
  </si>
  <si>
    <t>Los gastos por concepto de remuneración a empleados al 30 de Junio 2023 y 2022 es como</t>
  </si>
  <si>
    <t>sigue</t>
  </si>
  <si>
    <t>Sueldos Funcionarios</t>
  </si>
  <si>
    <t>Sueldos Empleados de Oficina</t>
  </si>
  <si>
    <t>Sueldos  Tramite de Pensión</t>
  </si>
  <si>
    <t>Sueldos Personal de Seguridad y otros</t>
  </si>
  <si>
    <t>Sueldo Personal Nominal</t>
  </si>
  <si>
    <t>Sueldos por Servicios Especiales</t>
  </si>
  <si>
    <t>Prestaciones Laborales</t>
  </si>
  <si>
    <t>Sueldos a Técnicos y Ayudantes</t>
  </si>
  <si>
    <t>Dieta y Gastos de representacion</t>
  </si>
  <si>
    <t>Bono por Desempeño</t>
  </si>
  <si>
    <t xml:space="preserve">Compensacion </t>
  </si>
  <si>
    <t>Contribuciones al seguro de salud</t>
  </si>
  <si>
    <t>Contribuciones al seguro de pensiones</t>
  </si>
  <si>
    <t>Contribuciones al seguro de riesgo laboral</t>
  </si>
  <si>
    <t>Vacaciones</t>
  </si>
  <si>
    <t>Jornales de Obreros</t>
  </si>
  <si>
    <t>Otros servicios personales</t>
  </si>
  <si>
    <t>Total Gastos de Personal</t>
  </si>
  <si>
    <t>OTROS GASTOS  (Nota 22)</t>
  </si>
  <si>
    <t>Los gastos por este concepto al 30 de Junio 2023 2022 es como sigue:</t>
  </si>
  <si>
    <t>Energía Eléctrica</t>
  </si>
  <si>
    <t>Agua y Basura</t>
  </si>
  <si>
    <t>Teléfonos y Comunicaciones</t>
  </si>
  <si>
    <t>Seguros</t>
  </si>
  <si>
    <t>Conservaciones y Reparaciones Menores</t>
  </si>
  <si>
    <t>Mantenimiento Vehiculo (Gastos del Taller)</t>
  </si>
  <si>
    <t>Honorarios Tecnicos Computacion</t>
  </si>
  <si>
    <t>Hhonorarios Juridicos</t>
  </si>
  <si>
    <t>Publicidad y Propaganda</t>
  </si>
  <si>
    <t>Imprsion y Encuadernacion</t>
  </si>
  <si>
    <t>Viáticos  en el Pais</t>
  </si>
  <si>
    <t>Transporte</t>
  </si>
  <si>
    <t>Alquileres</t>
  </si>
  <si>
    <t>Otros Servicios No Personales</t>
  </si>
  <si>
    <t>Total de Gastos No Personales</t>
  </si>
  <si>
    <t>MATERIALES Y SUMINISTRO (Nota 23)</t>
  </si>
  <si>
    <t>Los gastos por este concepto al 30 de Junio 2023 y 2022 es como sigue:</t>
  </si>
  <si>
    <t>Alimentos y Productos Farmaceuticos</t>
  </si>
  <si>
    <t>Textiles y Vestuarios</t>
  </si>
  <si>
    <t>Combustibles y Lubricantes</t>
  </si>
  <si>
    <t>Productos y Utiles Varios</t>
  </si>
  <si>
    <t>Productos de Papel Carbon</t>
  </si>
  <si>
    <t>Insumos y Fertizantes y Otros</t>
  </si>
  <si>
    <t>Otros Materiales</t>
  </si>
  <si>
    <t>Total Materiales y Suministro</t>
  </si>
  <si>
    <t>Transferencia y Donaciones Corrientes  al sector privado (Nota 24)</t>
  </si>
  <si>
    <t>Los gastos por este concepto al 30 de Junio 2023 y 2022 es como sigue</t>
  </si>
  <si>
    <t>Transferencia corriente ocasional inst sin fines de lucro</t>
  </si>
  <si>
    <t>Becas de Estudiantes</t>
  </si>
  <si>
    <t>Descuentos Ventas (Insumos y Fertilizantes, Cana, Madera)</t>
  </si>
  <si>
    <t>Donaciones Dir. Insumos y fertiliantes</t>
  </si>
  <si>
    <t>Total Donaciones</t>
  </si>
  <si>
    <t>Gastos Financieros (Nota 25)</t>
  </si>
  <si>
    <t>Servicios y Comisiones Bancarias</t>
  </si>
  <si>
    <t>Total Otros Gastos</t>
  </si>
  <si>
    <t>SUB-TOTAL DE GASTOS</t>
  </si>
  <si>
    <t xml:space="preserve">Depreciacion </t>
  </si>
  <si>
    <t>Amortizacion</t>
  </si>
  <si>
    <t>Total Depreciacion y Amortizacion</t>
  </si>
  <si>
    <t>Total general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</si>
</sst>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&quot; &quot;;&quot;(&quot;#,##0.00&quot;)&quot;;&quot;-&quot;#&quot; &quot;;@&quot; &quot;"/>
    <numFmt numFmtId="165" formatCode="#,##0.00&quot;       &quot;;#,##0.00&quot;       &quot;;&quot;-&quot;#&quot;       &quot;;@&quot; &quot;"/>
    <numFmt numFmtId="166" formatCode="[$RD$-1C0A]&quot; &quot;#,##0.00;[Red]&quot;-&quot;[$RD$-1C0A]&quot; 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1"/>
    </font>
    <font>
      <b/>
      <u/>
      <sz val="11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164" fontId="8" fillId="0" borderId="0" xfId="2" applyFont="1"/>
    <xf numFmtId="164" fontId="9" fillId="0" borderId="1" xfId="2" applyFont="1" applyBorder="1"/>
    <xf numFmtId="0" fontId="7" fillId="0" borderId="0" xfId="0" applyFont="1" applyAlignment="1">
      <alignment horizontal="left"/>
    </xf>
    <xf numFmtId="164" fontId="7" fillId="0" borderId="0" xfId="2"/>
    <xf numFmtId="164" fontId="9" fillId="0" borderId="1" xfId="0" applyNumberFormat="1" applyFont="1" applyBorder="1"/>
    <xf numFmtId="165" fontId="0" fillId="0" borderId="0" xfId="0" applyNumberFormat="1"/>
    <xf numFmtId="0" fontId="9" fillId="0" borderId="0" xfId="0" applyFont="1"/>
    <xf numFmtId="164" fontId="7" fillId="0" borderId="2" xfId="2" applyBorder="1"/>
    <xf numFmtId="164" fontId="9" fillId="0" borderId="0" xfId="0" applyNumberFormat="1" applyFont="1"/>
    <xf numFmtId="164" fontId="9" fillId="0" borderId="0" xfId="2" applyFont="1"/>
    <xf numFmtId="4" fontId="0" fillId="0" borderId="0" xfId="0" applyNumberFormat="1"/>
    <xf numFmtId="4" fontId="7" fillId="0" borderId="2" xfId="0" applyNumberFormat="1" applyFont="1" applyBorder="1"/>
    <xf numFmtId="0" fontId="4" fillId="0" borderId="0" xfId="0" applyFont="1"/>
    <xf numFmtId="164" fontId="6" fillId="0" borderId="0" xfId="2" applyFont="1"/>
    <xf numFmtId="164" fontId="9" fillId="0" borderId="3" xfId="0" applyNumberFormat="1" applyFont="1" applyBorder="1"/>
    <xf numFmtId="164" fontId="4" fillId="0" borderId="0" xfId="2" applyFont="1"/>
    <xf numFmtId="0" fontId="0" fillId="0" borderId="0" xfId="0" applyAlignment="1">
      <alignment horizontal="left"/>
    </xf>
    <xf numFmtId="164" fontId="10" fillId="0" borderId="0" xfId="2" applyFont="1"/>
    <xf numFmtId="164" fontId="8" fillId="0" borderId="2" xfId="2" applyFont="1" applyBorder="1"/>
    <xf numFmtId="164" fontId="9" fillId="0" borderId="3" xfId="2" applyFont="1" applyBorder="1"/>
    <xf numFmtId="164" fontId="6" fillId="0" borderId="0" xfId="0" applyNumberFormat="1" applyFont="1"/>
    <xf numFmtId="164" fontId="9" fillId="0" borderId="2" xfId="2" applyFont="1" applyBorder="1"/>
    <xf numFmtId="0" fontId="11" fillId="0" borderId="0" xfId="0" applyFont="1"/>
    <xf numFmtId="4" fontId="9" fillId="0" borderId="0" xfId="0" applyNumberFormat="1" applyFont="1"/>
    <xf numFmtId="3" fontId="0" fillId="0" borderId="0" xfId="0" applyNumberFormat="1"/>
    <xf numFmtId="3" fontId="9" fillId="0" borderId="0" xfId="2" applyNumberFormat="1" applyFont="1"/>
    <xf numFmtId="43" fontId="1" fillId="0" borderId="0" xfId="1"/>
    <xf numFmtId="166" fontId="4" fillId="0" borderId="0" xfId="0" applyNumberFormat="1" applyFont="1"/>
    <xf numFmtId="4" fontId="9" fillId="0" borderId="3" xfId="0" applyNumberFormat="1" applyFont="1" applyBorder="1"/>
    <xf numFmtId="4" fontId="4" fillId="0" borderId="0" xfId="0" applyNumberFormat="1" applyFont="1"/>
    <xf numFmtId="4" fontId="7" fillId="0" borderId="0" xfId="2" applyNumberFormat="1"/>
    <xf numFmtId="4" fontId="6" fillId="0" borderId="0" xfId="0" applyNumberFormat="1" applyFont="1"/>
    <xf numFmtId="164" fontId="0" fillId="0" borderId="0" xfId="0" applyNumberFormat="1"/>
    <xf numFmtId="0" fontId="2" fillId="0" borderId="0" xfId="0" applyFont="1"/>
    <xf numFmtId="164" fontId="6" fillId="0" borderId="2" xfId="0" applyNumberFormat="1" applyFont="1" applyBorder="1"/>
    <xf numFmtId="164" fontId="0" fillId="0" borderId="2" xfId="0" applyNumberFormat="1" applyBorder="1"/>
    <xf numFmtId="164" fontId="7" fillId="0" borderId="2" xfId="0" applyNumberFormat="1" applyFont="1" applyBorder="1"/>
    <xf numFmtId="164" fontId="7" fillId="0" borderId="0" xfId="0" applyNumberFormat="1" applyFont="1"/>
    <xf numFmtId="4" fontId="8" fillId="0" borderId="0" xfId="0" applyNumberFormat="1" applyFont="1"/>
    <xf numFmtId="4" fontId="6" fillId="0" borderId="3" xfId="0" applyNumberFormat="1" applyFont="1" applyBorder="1"/>
    <xf numFmtId="0" fontId="8" fillId="0" borderId="0" xfId="0" applyFont="1" applyAlignment="1">
      <alignment horizontal="left"/>
    </xf>
    <xf numFmtId="164" fontId="8" fillId="0" borderId="1" xfId="2" applyFont="1" applyBorder="1"/>
    <xf numFmtId="164" fontId="8" fillId="0" borderId="3" xfId="2" applyFont="1" applyBorder="1"/>
    <xf numFmtId="0" fontId="1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Excel_BuiltIn_Comma" xfId="2" xr:uid="{53E1D48D-470C-47D2-A2A7-3797CAEC2450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3</xdr:row>
      <xdr:rowOff>66674</xdr:rowOff>
    </xdr:from>
    <xdr:ext cx="1457329" cy="638175"/>
    <xdr:pic>
      <xdr:nvPicPr>
        <xdr:cNvPr id="2" name="Imagen 5">
          <a:extLst>
            <a:ext uri="{FF2B5EF4-FFF2-40B4-BE49-F238E27FC236}">
              <a16:creationId xmlns:a16="http://schemas.microsoft.com/office/drawing/2014/main" id="{01A61805-BDD8-4308-8864-7A3C682D9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28649"/>
          <a:ext cx="1457329" cy="6381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95250</xdr:colOff>
      <xdr:row>3</xdr:row>
      <xdr:rowOff>95250</xdr:rowOff>
    </xdr:from>
    <xdr:ext cx="1504950" cy="590550"/>
    <xdr:pic>
      <xdr:nvPicPr>
        <xdr:cNvPr id="3" name="Imagen 4">
          <a:extLst>
            <a:ext uri="{FF2B5EF4-FFF2-40B4-BE49-F238E27FC236}">
              <a16:creationId xmlns:a16="http://schemas.microsoft.com/office/drawing/2014/main" id="{8C3738E9-6F34-4D3C-8439-03D945AA7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657225"/>
          <a:ext cx="1504950" cy="5905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fermin\Downloads\Documentos\ESTADOS%20FINANCIEROS%20HACIENDA%202023%20JUNIO.ods" TargetMode="External"/><Relationship Id="rId1" Type="http://schemas.openxmlformats.org/officeDocument/2006/relationships/externalLinkPath" Target="file:///C:\Users\yfermin\Downloads\Documentos\ESTADOS%20FINANCIEROS%20HACIENDA%202023%20JUNI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_Estados_2023"/>
      <sheetName val="Hoja3"/>
      <sheetName val="Estado_Situacion_Financiera"/>
      <sheetName val="Estsdo_Rendimiento_Financiero"/>
      <sheetName val="Estado_de_Cambio_en_el_Patrimon"/>
      <sheetName val="CONCILIACION"/>
      <sheetName val="Estado_Flujo_Efectivo"/>
      <sheetName val="Presupuesto"/>
      <sheetName val="Hoja12"/>
      <sheetName val="Hoja1"/>
      <sheetName val="cuadro_activos"/>
    </sheetNames>
    <sheetDataSet>
      <sheetData sheetId="0">
        <row r="22">
          <cell r="G22">
            <v>100018711</v>
          </cell>
        </row>
      </sheetData>
      <sheetData sheetId="1"/>
      <sheetData sheetId="2"/>
      <sheetData sheetId="3">
        <row r="19">
          <cell r="D19">
            <v>115541498</v>
          </cell>
        </row>
        <row r="32">
          <cell r="D32">
            <v>22164967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D102-DB32-4A93-A1C3-F25A61163900}">
  <dimension ref="A1:L684"/>
  <sheetViews>
    <sheetView tabSelected="1" topLeftCell="A514" workbookViewId="0">
      <selection activeCell="J300" sqref="J300"/>
    </sheetView>
  </sheetViews>
  <sheetFormatPr baseColWidth="10" defaultRowHeight="12.75" customHeight="1"/>
  <cols>
    <col min="1" max="1" width="17.5703125" customWidth="1"/>
    <col min="2" max="2" width="8.85546875" customWidth="1"/>
    <col min="3" max="3" width="8.140625" customWidth="1"/>
    <col min="4" max="4" width="6" customWidth="1"/>
    <col min="5" max="5" width="4.42578125" customWidth="1"/>
    <col min="6" max="6" width="3.140625" customWidth="1"/>
    <col min="7" max="7" width="17.5703125" customWidth="1"/>
    <col min="8" max="8" width="12" customWidth="1"/>
    <col min="9" max="9" width="16.7109375" customWidth="1"/>
    <col min="10" max="10" width="20.5703125" customWidth="1"/>
    <col min="11" max="11" width="15.7109375" customWidth="1"/>
    <col min="12" max="12" width="14.28515625" customWidth="1"/>
    <col min="13" max="1023" width="11.7109375" customWidth="1"/>
    <col min="1024" max="1024" width="12.5703125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15.7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5.7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</row>
    <row r="5" spans="1:9" ht="15" customHeight="1">
      <c r="A5" s="55" t="s">
        <v>3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2"/>
      <c r="B6" s="2"/>
      <c r="C6" s="2"/>
      <c r="D6" s="2"/>
      <c r="E6" s="2"/>
      <c r="F6" s="2"/>
      <c r="G6" s="2"/>
      <c r="H6" s="2"/>
      <c r="I6" s="2"/>
    </row>
    <row r="10" spans="1:9" ht="12.75" customHeight="1">
      <c r="A10" s="3" t="s">
        <v>4</v>
      </c>
    </row>
    <row r="11" spans="1:9" ht="12.75" customHeight="1">
      <c r="A11" s="3"/>
    </row>
    <row r="12" spans="1:9" ht="12.75" customHeight="1">
      <c r="A12" s="3"/>
    </row>
    <row r="13" spans="1:9" ht="12.75" customHeight="1">
      <c r="A13" s="4" t="s">
        <v>5</v>
      </c>
    </row>
    <row r="14" spans="1:9" ht="12.75" customHeight="1">
      <c r="A14" s="5" t="s">
        <v>6</v>
      </c>
    </row>
    <row r="15" spans="1:9" ht="12.75" customHeight="1">
      <c r="A15" s="5" t="s">
        <v>7</v>
      </c>
    </row>
    <row r="16" spans="1:9" ht="12.75" customHeight="1">
      <c r="A16" s="5"/>
    </row>
    <row r="17" spans="1:10" ht="12.75" customHeight="1">
      <c r="A17" s="5"/>
    </row>
    <row r="18" spans="1:10" ht="12.75" customHeight="1">
      <c r="B18" s="6"/>
      <c r="C18" s="6"/>
      <c r="D18" s="6"/>
      <c r="E18" s="6"/>
      <c r="F18" s="6"/>
      <c r="G18" s="7">
        <v>2023</v>
      </c>
      <c r="I18" s="7">
        <v>2022</v>
      </c>
    </row>
    <row r="19" spans="1:10" ht="12.75" customHeight="1">
      <c r="A19" s="5" t="s">
        <v>8</v>
      </c>
      <c r="B19" s="6"/>
      <c r="C19" s="6"/>
      <c r="D19" s="6"/>
      <c r="E19" s="6"/>
      <c r="F19" s="6"/>
      <c r="G19" s="8">
        <v>99969848</v>
      </c>
      <c r="I19" s="8">
        <v>80427045</v>
      </c>
      <c r="J19" s="8"/>
    </row>
    <row r="20" spans="1:10" ht="12.75" customHeight="1">
      <c r="A20" s="5" t="s">
        <v>9</v>
      </c>
      <c r="B20" s="6"/>
      <c r="C20" s="6"/>
      <c r="D20" s="6"/>
      <c r="E20" s="6"/>
      <c r="F20" s="6"/>
      <c r="G20" s="8">
        <v>0</v>
      </c>
      <c r="I20" s="8">
        <v>60552</v>
      </c>
      <c r="J20" s="8"/>
    </row>
    <row r="21" spans="1:10" ht="13.5" customHeight="1">
      <c r="A21" s="5" t="s">
        <v>10</v>
      </c>
      <c r="B21" s="6"/>
      <c r="C21" s="6"/>
      <c r="D21" s="6"/>
      <c r="E21" s="6"/>
      <c r="F21" s="6"/>
      <c r="G21" s="8">
        <v>48863</v>
      </c>
      <c r="I21" s="8">
        <v>55963</v>
      </c>
    </row>
    <row r="22" spans="1:10" ht="13.5" customHeight="1" thickBot="1">
      <c r="A22" s="4" t="s">
        <v>11</v>
      </c>
      <c r="G22" s="9">
        <f>SUM(G19:G21)</f>
        <v>100018711</v>
      </c>
      <c r="I22" s="9">
        <f>SUM(I19:I21)</f>
        <v>80543560</v>
      </c>
    </row>
    <row r="23" spans="1:10" ht="13.5" customHeight="1" thickTop="1"/>
    <row r="24" spans="1:10" ht="13.5" customHeight="1"/>
    <row r="25" spans="1:10" ht="13.5" customHeight="1"/>
    <row r="26" spans="1:10" ht="13.5" customHeight="1">
      <c r="A26" s="4" t="s">
        <v>12</v>
      </c>
    </row>
    <row r="27" spans="1:10" ht="13.5" customHeight="1">
      <c r="A27" s="10" t="s">
        <v>13</v>
      </c>
    </row>
    <row r="28" spans="1:10" ht="12.75" customHeight="1">
      <c r="A28" t="s">
        <v>14</v>
      </c>
      <c r="B28" s="6"/>
      <c r="C28" s="6"/>
      <c r="D28" s="6"/>
      <c r="E28" s="6"/>
      <c r="F28" s="6"/>
    </row>
    <row r="29" spans="1:10" ht="12.75" customHeight="1">
      <c r="B29" s="6"/>
      <c r="C29" s="6"/>
      <c r="D29" s="6"/>
      <c r="E29" s="6"/>
      <c r="F29" s="6"/>
      <c r="G29" s="11"/>
      <c r="I29" s="11"/>
    </row>
    <row r="30" spans="1:10" ht="12.75" customHeight="1">
      <c r="A30" s="5"/>
      <c r="B30" s="6"/>
      <c r="C30" s="6"/>
      <c r="D30" s="6"/>
      <c r="E30" s="6"/>
      <c r="F30" s="6"/>
      <c r="G30" s="11">
        <v>0</v>
      </c>
      <c r="I30" s="11">
        <v>0</v>
      </c>
    </row>
    <row r="31" spans="1:10" ht="12.75" customHeight="1">
      <c r="A31" s="5" t="s">
        <v>15</v>
      </c>
      <c r="B31" s="6"/>
      <c r="C31" s="6"/>
      <c r="D31" s="6"/>
      <c r="E31" s="6"/>
      <c r="F31" s="6"/>
      <c r="G31" s="11">
        <v>1846060</v>
      </c>
      <c r="I31" s="11">
        <v>1893278</v>
      </c>
    </row>
    <row r="32" spans="1:10" ht="13.5" customHeight="1" thickBot="1">
      <c r="A32" s="4" t="s">
        <v>16</v>
      </c>
      <c r="B32" s="6"/>
      <c r="C32" s="6"/>
      <c r="D32" s="6"/>
      <c r="E32" s="6"/>
      <c r="F32" s="6"/>
      <c r="G32" s="12">
        <f>SUM(G29:G31)</f>
        <v>1846060</v>
      </c>
      <c r="I32" s="12">
        <f>SUM(I27:I31)</f>
        <v>1893278</v>
      </c>
    </row>
    <row r="33" spans="1:10" ht="13.5" customHeight="1" thickTop="1">
      <c r="A33" s="5"/>
      <c r="B33" s="6"/>
      <c r="C33" s="6"/>
      <c r="D33" s="6"/>
      <c r="E33" s="6"/>
      <c r="F33" s="6"/>
    </row>
    <row r="34" spans="1:10" ht="13.5" customHeight="1">
      <c r="A34" s="5"/>
      <c r="B34" s="6"/>
      <c r="C34" s="6"/>
      <c r="D34" s="6"/>
      <c r="E34" s="6"/>
      <c r="F34" s="6"/>
    </row>
    <row r="35" spans="1:10" ht="13.5" customHeight="1">
      <c r="A35" s="5"/>
      <c r="B35" s="6"/>
      <c r="C35" s="6"/>
      <c r="D35" s="6"/>
      <c r="E35" s="6"/>
      <c r="F35" s="6"/>
    </row>
    <row r="36" spans="1:10" ht="12.75" customHeight="1">
      <c r="A36" s="5"/>
      <c r="B36" s="6"/>
      <c r="C36" s="6"/>
      <c r="D36" s="6"/>
      <c r="E36" s="6"/>
      <c r="F36" s="6"/>
    </row>
    <row r="37" spans="1:10" ht="12.75" customHeight="1">
      <c r="A37" s="5"/>
      <c r="B37" s="6"/>
      <c r="C37" s="6"/>
      <c r="D37" s="6"/>
      <c r="E37" s="6"/>
      <c r="F37" s="6"/>
    </row>
    <row r="38" spans="1:10" ht="12.75" customHeight="1">
      <c r="A38" s="4" t="s">
        <v>17</v>
      </c>
      <c r="B38" s="6"/>
      <c r="C38" s="6"/>
      <c r="D38" s="6"/>
      <c r="E38" s="6"/>
      <c r="F38" s="6"/>
    </row>
    <row r="39" spans="1:10" ht="12.75" customHeight="1">
      <c r="A39" s="4"/>
      <c r="B39" s="6"/>
      <c r="C39" s="6"/>
      <c r="D39" s="6"/>
      <c r="E39" s="6"/>
      <c r="F39" s="6"/>
    </row>
    <row r="40" spans="1:10" ht="12.75" customHeight="1">
      <c r="A40" s="5" t="s">
        <v>18</v>
      </c>
      <c r="B40" s="6"/>
      <c r="C40" s="6"/>
      <c r="D40" s="6"/>
      <c r="E40" s="6"/>
      <c r="F40" s="6"/>
      <c r="J40" s="13"/>
    </row>
    <row r="41" spans="1:10" ht="12.75" customHeight="1">
      <c r="A41" s="5"/>
      <c r="B41" s="6"/>
      <c r="C41" s="6"/>
      <c r="D41" s="6"/>
      <c r="E41" s="6"/>
      <c r="F41" s="6"/>
    </row>
    <row r="42" spans="1:10" ht="12.75" customHeight="1">
      <c r="A42" s="5"/>
      <c r="B42" s="6"/>
      <c r="C42" s="6"/>
      <c r="D42" s="6"/>
      <c r="E42" s="6"/>
      <c r="F42" s="6"/>
    </row>
    <row r="43" spans="1:10" ht="12.75" customHeight="1">
      <c r="A43" s="4" t="s">
        <v>19</v>
      </c>
      <c r="B43" s="6"/>
      <c r="C43" s="6"/>
      <c r="D43" s="6"/>
      <c r="E43" s="6"/>
      <c r="F43" s="6"/>
      <c r="G43" s="8"/>
      <c r="I43" s="8"/>
    </row>
    <row r="44" spans="1:10" ht="12.75" customHeight="1">
      <c r="A44" s="5" t="s">
        <v>20</v>
      </c>
      <c r="B44" s="6"/>
      <c r="C44" s="6"/>
      <c r="D44" s="6"/>
      <c r="E44" s="6"/>
      <c r="F44" s="6"/>
      <c r="G44" s="8">
        <v>10343408</v>
      </c>
      <c r="I44" s="8">
        <v>9571354</v>
      </c>
    </row>
    <row r="45" spans="1:10" ht="12.75" customHeight="1">
      <c r="A45" s="5" t="s">
        <v>21</v>
      </c>
      <c r="B45" s="6"/>
      <c r="C45" s="6"/>
      <c r="D45" s="6"/>
      <c r="E45" s="6"/>
      <c r="F45" s="6"/>
      <c r="G45" s="11">
        <v>461097</v>
      </c>
      <c r="I45" s="11">
        <v>85497</v>
      </c>
    </row>
    <row r="46" spans="1:10" ht="12.75" customHeight="1">
      <c r="A46" s="5" t="s">
        <v>22</v>
      </c>
      <c r="B46" s="6"/>
      <c r="C46" s="6"/>
      <c r="D46" s="6"/>
      <c r="E46" s="6"/>
      <c r="F46" s="6"/>
      <c r="G46" s="11">
        <v>28516</v>
      </c>
      <c r="I46" s="11">
        <v>28516</v>
      </c>
    </row>
    <row r="47" spans="1:10" ht="12.75" customHeight="1">
      <c r="A47" s="5" t="s">
        <v>23</v>
      </c>
      <c r="B47" s="6"/>
      <c r="C47" s="6"/>
      <c r="D47" s="6"/>
      <c r="E47" s="6"/>
      <c r="F47" s="6"/>
      <c r="G47" s="11">
        <v>363859</v>
      </c>
      <c r="I47" s="11">
        <v>681102</v>
      </c>
    </row>
    <row r="48" spans="1:10" ht="12.75" customHeight="1">
      <c r="A48" s="5" t="s">
        <v>24</v>
      </c>
      <c r="B48" s="6"/>
      <c r="C48" s="6"/>
      <c r="D48" s="6"/>
      <c r="E48" s="6"/>
      <c r="F48" s="6"/>
      <c r="G48" s="11">
        <v>855000</v>
      </c>
      <c r="I48" s="11">
        <v>0</v>
      </c>
    </row>
    <row r="49" spans="1:9" ht="12.75" customHeight="1">
      <c r="A49" s="5" t="s">
        <v>25</v>
      </c>
      <c r="B49" s="6"/>
      <c r="C49" s="6"/>
      <c r="D49" s="6"/>
      <c r="E49" s="6"/>
      <c r="F49" s="6"/>
      <c r="G49" s="11">
        <v>905452</v>
      </c>
      <c r="I49" s="11">
        <v>767341</v>
      </c>
    </row>
    <row r="50" spans="1:9" ht="12.75" customHeight="1">
      <c r="A50" s="5" t="s">
        <v>26</v>
      </c>
      <c r="B50" s="6"/>
      <c r="C50" s="6"/>
      <c r="D50" s="6"/>
      <c r="E50" s="6"/>
      <c r="F50" s="6"/>
      <c r="G50" s="11">
        <v>88899</v>
      </c>
      <c r="I50" s="11">
        <v>88899</v>
      </c>
    </row>
    <row r="51" spans="1:9" ht="12.75" customHeight="1">
      <c r="A51" s="5" t="s">
        <v>27</v>
      </c>
      <c r="B51" s="6"/>
      <c r="C51" s="6"/>
      <c r="D51" s="6"/>
      <c r="E51" s="6"/>
      <c r="F51" s="6"/>
      <c r="G51" s="11">
        <v>3235486</v>
      </c>
      <c r="I51" s="11">
        <v>2476563</v>
      </c>
    </row>
    <row r="52" spans="1:9" ht="12.75" customHeight="1">
      <c r="A52" s="5" t="s">
        <v>28</v>
      </c>
      <c r="B52" s="6"/>
      <c r="C52" s="6"/>
      <c r="D52" s="6"/>
      <c r="E52" s="6"/>
      <c r="F52" s="6"/>
      <c r="G52" s="11">
        <v>2697042</v>
      </c>
      <c r="I52" s="11">
        <v>8739355</v>
      </c>
    </row>
    <row r="53" spans="1:9" ht="12.75" customHeight="1">
      <c r="A53" s="5" t="s">
        <v>29</v>
      </c>
      <c r="B53" s="6"/>
      <c r="C53" s="6"/>
      <c r="D53" s="6"/>
      <c r="E53" s="6"/>
      <c r="F53" s="6"/>
      <c r="G53" s="11">
        <v>78820</v>
      </c>
      <c r="I53" s="11">
        <v>57345</v>
      </c>
    </row>
    <row r="54" spans="1:9" ht="12.75" customHeight="1">
      <c r="A54" s="5" t="s">
        <v>30</v>
      </c>
      <c r="B54" s="6"/>
      <c r="C54" s="6"/>
      <c r="D54" s="6"/>
      <c r="E54" s="6"/>
      <c r="F54" s="6"/>
      <c r="G54" s="11">
        <v>72165</v>
      </c>
      <c r="I54" s="11">
        <v>72165</v>
      </c>
    </row>
    <row r="55" spans="1:9" ht="12.75" customHeight="1">
      <c r="A55" s="5" t="s">
        <v>31</v>
      </c>
      <c r="B55" s="14"/>
      <c r="C55" s="14"/>
      <c r="D55" s="14"/>
      <c r="E55" s="14"/>
      <c r="F55" s="14"/>
      <c r="G55" s="15">
        <v>613793</v>
      </c>
      <c r="I55" s="15">
        <v>883351</v>
      </c>
    </row>
    <row r="56" spans="1:9" ht="12.75" customHeight="1">
      <c r="A56" s="4" t="s">
        <v>32</v>
      </c>
      <c r="B56" s="14"/>
      <c r="C56" s="14"/>
      <c r="D56" s="14"/>
      <c r="E56" s="14"/>
      <c r="F56" s="14"/>
      <c r="G56" s="16">
        <f>SUM(G43:G55)</f>
        <v>19743537</v>
      </c>
      <c r="H56" s="4"/>
      <c r="I56" s="16">
        <f>SUM(I36:I55)</f>
        <v>23451488</v>
      </c>
    </row>
    <row r="57" spans="1:9" ht="12.75" customHeight="1">
      <c r="A57" s="4"/>
      <c r="B57" s="14"/>
      <c r="C57" s="14"/>
      <c r="D57" s="14"/>
      <c r="E57" s="14"/>
      <c r="F57" s="14"/>
      <c r="G57" s="4"/>
      <c r="H57" s="4"/>
      <c r="I57" s="17"/>
    </row>
    <row r="58" spans="1:9" ht="12.75" customHeight="1">
      <c r="A58" s="4"/>
      <c r="B58" s="14"/>
      <c r="C58" s="14"/>
      <c r="D58" s="14"/>
      <c r="E58" s="14"/>
      <c r="F58" s="14"/>
      <c r="G58" s="4"/>
      <c r="H58" s="4"/>
      <c r="I58" s="17"/>
    </row>
    <row r="59" spans="1:9" ht="12.75" customHeight="1">
      <c r="A59" s="4" t="s">
        <v>33</v>
      </c>
      <c r="B59" s="6"/>
      <c r="C59" s="6"/>
      <c r="D59" s="6"/>
      <c r="E59" s="6"/>
      <c r="F59" s="6"/>
      <c r="I59" s="8"/>
    </row>
    <row r="60" spans="1:9" ht="12.75" customHeight="1">
      <c r="A60" s="5" t="s">
        <v>34</v>
      </c>
      <c r="B60" s="6"/>
      <c r="C60" s="6"/>
      <c r="D60" s="6"/>
      <c r="E60" s="6"/>
      <c r="F60" s="6"/>
      <c r="I60" s="8"/>
    </row>
    <row r="61" spans="1:9" ht="12.75" customHeight="1">
      <c r="A61" s="5" t="s">
        <v>35</v>
      </c>
      <c r="B61" s="6"/>
      <c r="C61" s="6"/>
      <c r="D61" s="6"/>
      <c r="E61" s="6"/>
      <c r="F61" s="6"/>
      <c r="I61" s="8"/>
    </row>
    <row r="62" spans="1:9" ht="12.75" customHeight="1">
      <c r="A62" s="5" t="s">
        <v>36</v>
      </c>
      <c r="B62" s="6"/>
      <c r="C62" s="6"/>
      <c r="D62" s="6"/>
      <c r="E62" s="6"/>
      <c r="F62" s="6"/>
      <c r="I62" s="8"/>
    </row>
    <row r="63" spans="1:9" ht="12.75" customHeight="1">
      <c r="A63" s="5"/>
      <c r="B63" s="6"/>
      <c r="C63" s="6"/>
      <c r="D63" s="6"/>
      <c r="E63" s="6"/>
      <c r="F63" s="6"/>
      <c r="G63" s="18"/>
      <c r="I63" s="18"/>
    </row>
    <row r="64" spans="1:9" ht="12.75" customHeight="1">
      <c r="A64" s="5" t="s">
        <v>37</v>
      </c>
      <c r="B64" s="6"/>
      <c r="C64" s="6"/>
      <c r="D64" s="6"/>
      <c r="E64" s="6"/>
      <c r="F64" s="6"/>
      <c r="G64" s="18">
        <v>607963</v>
      </c>
      <c r="I64" s="18">
        <v>468243</v>
      </c>
    </row>
    <row r="65" spans="1:10" ht="12.75" customHeight="1">
      <c r="A65" s="5" t="s">
        <v>38</v>
      </c>
      <c r="B65" s="6"/>
      <c r="C65" s="6"/>
      <c r="D65" s="6"/>
      <c r="E65" s="6"/>
      <c r="F65" s="6"/>
      <c r="G65" s="18">
        <v>216856</v>
      </c>
      <c r="I65" s="18">
        <v>223155</v>
      </c>
    </row>
    <row r="66" spans="1:10" ht="12.75" customHeight="1">
      <c r="A66" s="5" t="s">
        <v>39</v>
      </c>
      <c r="B66" s="6"/>
      <c r="C66" s="6"/>
      <c r="D66" s="6"/>
      <c r="E66" s="6"/>
      <c r="F66" s="6"/>
      <c r="G66" s="18">
        <v>292964</v>
      </c>
      <c r="I66" s="18">
        <v>60971</v>
      </c>
    </row>
    <row r="67" spans="1:10" ht="12.75" customHeight="1">
      <c r="A67" s="5" t="s">
        <v>40</v>
      </c>
      <c r="B67" s="6"/>
      <c r="C67" s="6"/>
      <c r="D67" s="6"/>
      <c r="E67" s="6"/>
      <c r="F67" s="6"/>
      <c r="G67" s="19">
        <v>3504795</v>
      </c>
      <c r="I67" s="19">
        <v>895562</v>
      </c>
    </row>
    <row r="68" spans="1:10" ht="12.75" customHeight="1">
      <c r="A68" s="4" t="s">
        <v>41</v>
      </c>
      <c r="B68" s="6"/>
      <c r="C68" s="6"/>
      <c r="D68" s="6"/>
      <c r="E68" s="6"/>
      <c r="F68" s="6"/>
      <c r="G68" s="16">
        <f>SUM(G64:G67)</f>
        <v>4622578</v>
      </c>
      <c r="I68" s="16">
        <f>SUM(I58:I67)</f>
        <v>1647931</v>
      </c>
    </row>
    <row r="69" spans="1:10" ht="12.75" customHeight="1">
      <c r="A69" s="4"/>
      <c r="B69" s="6"/>
      <c r="C69" s="6"/>
      <c r="D69" s="6"/>
      <c r="E69" s="6"/>
      <c r="F69" s="6"/>
      <c r="G69" s="16"/>
      <c r="H69" s="20"/>
      <c r="I69" s="16"/>
    </row>
    <row r="70" spans="1:10" ht="12.75" customHeight="1">
      <c r="A70" s="4" t="s">
        <v>42</v>
      </c>
      <c r="G70" s="16">
        <f>+G56+G68</f>
        <v>24366115</v>
      </c>
      <c r="H70" s="20"/>
      <c r="I70" s="16">
        <f>+I56+I68</f>
        <v>25099419</v>
      </c>
    </row>
    <row r="71" spans="1:10" ht="12.75" customHeight="1">
      <c r="A71" s="5"/>
    </row>
    <row r="72" spans="1:10" ht="12.75" customHeight="1">
      <c r="A72" s="4" t="s">
        <v>43</v>
      </c>
    </row>
    <row r="73" spans="1:10" ht="12.75" customHeight="1">
      <c r="A73" s="4"/>
      <c r="B73" s="6"/>
      <c r="C73" s="6"/>
      <c r="D73" s="6"/>
      <c r="E73" s="6"/>
      <c r="F73" s="6"/>
      <c r="G73" s="11"/>
      <c r="I73" s="11">
        <v>0</v>
      </c>
    </row>
    <row r="74" spans="1:10" ht="12.75" customHeight="1">
      <c r="A74" s="5" t="s">
        <v>44</v>
      </c>
      <c r="B74" s="6"/>
      <c r="C74" s="6"/>
      <c r="D74" s="6"/>
      <c r="E74" s="6"/>
      <c r="F74" s="6"/>
      <c r="G74" s="15">
        <v>1448485</v>
      </c>
      <c r="I74" s="15">
        <v>145185</v>
      </c>
    </row>
    <row r="75" spans="1:10" ht="12.75" customHeight="1">
      <c r="A75" s="4" t="s">
        <v>45</v>
      </c>
      <c r="G75" s="16">
        <f>SUM(G74)</f>
        <v>1448485</v>
      </c>
      <c r="I75" s="16">
        <f>SUM(I74)</f>
        <v>145185</v>
      </c>
    </row>
    <row r="76" spans="1:10" ht="12.75" customHeight="1">
      <c r="A76" s="5"/>
    </row>
    <row r="77" spans="1:10" ht="12.75" customHeight="1">
      <c r="B77" s="20"/>
      <c r="C77" s="20"/>
      <c r="D77" s="20"/>
      <c r="E77" s="20"/>
      <c r="F77" s="20"/>
      <c r="G77" s="21"/>
      <c r="H77" s="20"/>
      <c r="I77" s="21"/>
    </row>
    <row r="78" spans="1:10" ht="12.75" customHeight="1">
      <c r="A78" s="20" t="s">
        <v>46</v>
      </c>
      <c r="G78" s="21">
        <f>+G75</f>
        <v>1448485</v>
      </c>
      <c r="H78" s="20"/>
      <c r="I78" s="21">
        <f>+I75</f>
        <v>145185</v>
      </c>
    </row>
    <row r="79" spans="1:10" ht="12.75" customHeight="1" thickBot="1">
      <c r="A79" s="4"/>
      <c r="G79" s="22"/>
      <c r="I79" s="22"/>
    </row>
    <row r="80" spans="1:10" ht="12.75" customHeight="1" thickTop="1" thickBot="1">
      <c r="A80" s="4" t="s">
        <v>47</v>
      </c>
      <c r="G80" s="22">
        <f>+G78+G70+G32+G22</f>
        <v>127679371</v>
      </c>
      <c r="I80" s="22">
        <f>+I78+I70+I32+I22</f>
        <v>107681442</v>
      </c>
      <c r="J80" s="18"/>
    </row>
    <row r="81" spans="1:9" ht="12.75" customHeight="1" thickTop="1">
      <c r="A81" s="4"/>
    </row>
    <row r="84" spans="1:9" ht="12.75" customHeight="1">
      <c r="A84" s="4" t="s">
        <v>48</v>
      </c>
    </row>
    <row r="86" spans="1:9" ht="12.75" customHeight="1">
      <c r="A86" s="4" t="s">
        <v>49</v>
      </c>
    </row>
    <row r="87" spans="1:9" ht="12.75" customHeight="1">
      <c r="A87" s="4"/>
    </row>
    <row r="88" spans="1:9" ht="12.75" customHeight="1">
      <c r="A88" s="5" t="s">
        <v>50</v>
      </c>
    </row>
    <row r="89" spans="1:9" ht="12.75" customHeight="1">
      <c r="A89" t="s">
        <v>51</v>
      </c>
    </row>
    <row r="90" spans="1:9" ht="12.75" customHeight="1">
      <c r="A90" s="4"/>
    </row>
    <row r="91" spans="1:9" ht="12.75" customHeight="1">
      <c r="A91" s="20" t="s">
        <v>52</v>
      </c>
    </row>
    <row r="92" spans="1:9" ht="12.75" customHeight="1">
      <c r="G92" s="7">
        <v>2023</v>
      </c>
      <c r="I92" s="7">
        <v>2022</v>
      </c>
    </row>
    <row r="93" spans="1:9" ht="12.75" customHeight="1">
      <c r="A93" s="4" t="s">
        <v>53</v>
      </c>
    </row>
    <row r="94" spans="1:9" ht="14.25" customHeight="1">
      <c r="A94" s="4"/>
      <c r="F94" s="7"/>
      <c r="G94" s="7"/>
    </row>
    <row r="95" spans="1:9" ht="14.25" customHeight="1">
      <c r="A95" t="s">
        <v>54</v>
      </c>
    </row>
    <row r="96" spans="1:9" ht="14.25" customHeight="1">
      <c r="A96" t="s">
        <v>55</v>
      </c>
    </row>
    <row r="97" spans="1:9" ht="14.25" customHeight="1">
      <c r="A97" t="s">
        <v>56</v>
      </c>
    </row>
    <row r="98" spans="1:9" ht="15" customHeight="1">
      <c r="A98" t="s">
        <v>57</v>
      </c>
      <c r="F98" s="23"/>
      <c r="G98" s="17">
        <v>3095238</v>
      </c>
      <c r="I98" s="17">
        <v>3095238</v>
      </c>
    </row>
    <row r="99" spans="1:9" ht="14.25" customHeight="1">
      <c r="A99" t="s">
        <v>58</v>
      </c>
    </row>
    <row r="100" spans="1:9" ht="14.25" customHeight="1"/>
    <row r="101" spans="1:9" ht="14.25" customHeight="1"/>
    <row r="102" spans="1:9" ht="14.25" customHeight="1">
      <c r="A102" t="s">
        <v>59</v>
      </c>
    </row>
    <row r="103" spans="1:9" ht="14.25" customHeight="1">
      <c r="A103" t="s">
        <v>60</v>
      </c>
    </row>
    <row r="104" spans="1:9" ht="14.25" customHeight="1">
      <c r="A104" t="s">
        <v>61</v>
      </c>
    </row>
    <row r="105" spans="1:9" ht="15" customHeight="1">
      <c r="A105" t="s">
        <v>62</v>
      </c>
      <c r="F105" s="23"/>
      <c r="G105" s="17">
        <v>2457619</v>
      </c>
      <c r="I105" s="17">
        <v>2457619</v>
      </c>
    </row>
    <row r="106" spans="1:9" ht="14.25" customHeight="1">
      <c r="A106" t="s">
        <v>63</v>
      </c>
    </row>
    <row r="107" spans="1:9" ht="15" customHeight="1"/>
    <row r="108" spans="1:9" ht="15" customHeight="1">
      <c r="A108" s="20" t="s">
        <v>64</v>
      </c>
    </row>
    <row r="109" spans="1:9" ht="14.25" customHeight="1">
      <c r="A109" s="20"/>
      <c r="B109" s="24"/>
      <c r="C109" s="24"/>
      <c r="D109" s="24"/>
      <c r="E109" s="24"/>
      <c r="F109" s="24"/>
    </row>
    <row r="110" spans="1:9" ht="14.25" customHeight="1">
      <c r="A110" s="24" t="s">
        <v>65</v>
      </c>
      <c r="B110" s="24"/>
      <c r="C110" s="24"/>
      <c r="D110" s="24"/>
      <c r="E110" s="24"/>
      <c r="F110" s="24"/>
    </row>
    <row r="111" spans="1:9" ht="14.25" customHeight="1">
      <c r="A111" s="24" t="s">
        <v>66</v>
      </c>
      <c r="B111" s="24"/>
      <c r="C111" s="24"/>
      <c r="D111" s="24"/>
      <c r="E111" s="24"/>
      <c r="F111" s="24"/>
    </row>
    <row r="112" spans="1:9" ht="14.25" customHeight="1">
      <c r="A112" s="24" t="s">
        <v>67</v>
      </c>
      <c r="B112" s="24"/>
      <c r="C112" s="24"/>
      <c r="D112" s="24"/>
      <c r="E112" s="24"/>
      <c r="F112" s="24"/>
    </row>
    <row r="113" spans="1:9" ht="15" customHeight="1">
      <c r="A113" s="24" t="s">
        <v>68</v>
      </c>
      <c r="B113" s="24"/>
      <c r="C113" s="24"/>
      <c r="D113" s="24"/>
      <c r="E113" s="24"/>
      <c r="F113" s="23"/>
      <c r="G113" s="17"/>
      <c r="I113" s="17"/>
    </row>
    <row r="114" spans="1:9" ht="15" customHeight="1">
      <c r="A114" s="24" t="s">
        <v>69</v>
      </c>
      <c r="B114" s="24"/>
      <c r="C114" s="24"/>
      <c r="D114" s="24"/>
      <c r="E114" s="24"/>
      <c r="F114" s="24"/>
      <c r="G114" s="17">
        <v>1547619</v>
      </c>
      <c r="I114" s="17">
        <v>1547619</v>
      </c>
    </row>
    <row r="115" spans="1:9" ht="14.25" customHeight="1">
      <c r="A115" s="24"/>
    </row>
    <row r="116" spans="1:9" ht="14.25" customHeight="1"/>
    <row r="117" spans="1:9" ht="14.25" customHeight="1">
      <c r="A117" t="s">
        <v>70</v>
      </c>
    </row>
    <row r="118" spans="1:9" ht="14.25" customHeight="1">
      <c r="A118" t="s">
        <v>71</v>
      </c>
    </row>
    <row r="119" spans="1:9" ht="14.25" customHeight="1">
      <c r="A119" t="s">
        <v>72</v>
      </c>
    </row>
    <row r="120" spans="1:9" ht="15" customHeight="1">
      <c r="A120" t="s">
        <v>73</v>
      </c>
      <c r="F120" s="23"/>
      <c r="G120" s="17"/>
      <c r="I120" s="17"/>
    </row>
    <row r="121" spans="1:9" ht="14.25" customHeight="1">
      <c r="A121" t="s">
        <v>74</v>
      </c>
      <c r="G121" s="17">
        <v>306738</v>
      </c>
      <c r="I121" s="17">
        <v>306738</v>
      </c>
    </row>
    <row r="122" spans="1:9" ht="14.25" customHeight="1">
      <c r="G122" s="6"/>
    </row>
    <row r="123" spans="1:9" ht="14.25" customHeight="1">
      <c r="G123" s="6"/>
    </row>
    <row r="124" spans="1:9" ht="14.25" customHeight="1">
      <c r="G124" s="6"/>
    </row>
    <row r="125" spans="1:9" ht="14.25" customHeight="1">
      <c r="G125" s="6"/>
    </row>
    <row r="126" spans="1:9" ht="14.25" customHeight="1">
      <c r="A126" t="s">
        <v>75</v>
      </c>
      <c r="G126" s="6"/>
    </row>
    <row r="127" spans="1:9" ht="14.25" customHeight="1">
      <c r="A127" t="s">
        <v>76</v>
      </c>
      <c r="G127" s="6"/>
    </row>
    <row r="128" spans="1:9" ht="14.25" customHeight="1">
      <c r="A128" t="s">
        <v>77</v>
      </c>
      <c r="G128" s="6"/>
    </row>
    <row r="129" spans="1:9" ht="15" customHeight="1">
      <c r="A129" t="s">
        <v>78</v>
      </c>
      <c r="F129" s="23"/>
      <c r="G129" s="17"/>
      <c r="I129" s="17"/>
    </row>
    <row r="130" spans="1:9" ht="14.25" customHeight="1">
      <c r="A130" t="s">
        <v>79</v>
      </c>
      <c r="G130" s="17">
        <v>256533</v>
      </c>
      <c r="I130" s="17">
        <v>256533</v>
      </c>
    </row>
    <row r="131" spans="1:9" ht="14.25" customHeight="1">
      <c r="G131" s="6"/>
    </row>
    <row r="132" spans="1:9" ht="14.25" customHeight="1">
      <c r="A132" t="s">
        <v>80</v>
      </c>
      <c r="G132" s="6"/>
    </row>
    <row r="133" spans="1:9" ht="14.25" customHeight="1">
      <c r="A133" t="s">
        <v>76</v>
      </c>
      <c r="G133" s="6"/>
    </row>
    <row r="134" spans="1:9" ht="14.25" customHeight="1">
      <c r="A134" t="s">
        <v>77</v>
      </c>
      <c r="G134" s="6"/>
    </row>
    <row r="135" spans="1:9" ht="15" customHeight="1">
      <c r="A135" t="s">
        <v>81</v>
      </c>
      <c r="F135" s="23"/>
      <c r="G135" s="17"/>
      <c r="I135" s="17"/>
    </row>
    <row r="136" spans="1:9" ht="14.25" customHeight="1">
      <c r="A136" t="s">
        <v>82</v>
      </c>
      <c r="G136" s="17">
        <v>1618933</v>
      </c>
      <c r="I136" s="17">
        <v>1618933</v>
      </c>
    </row>
    <row r="137" spans="1:9" ht="12.75" customHeight="1">
      <c r="G137" s="6"/>
    </row>
    <row r="138" spans="1:9" ht="12.75" customHeight="1">
      <c r="A138" s="4" t="s">
        <v>83</v>
      </c>
      <c r="G138" s="6"/>
    </row>
    <row r="139" spans="1:9" ht="14.25" customHeight="1">
      <c r="G139" s="6"/>
    </row>
    <row r="140" spans="1:9" ht="14.25" customHeight="1">
      <c r="A140" t="s">
        <v>84</v>
      </c>
      <c r="G140" s="6"/>
    </row>
    <row r="141" spans="1:9" ht="14.25" customHeight="1">
      <c r="A141" t="s">
        <v>85</v>
      </c>
      <c r="G141" s="6"/>
    </row>
    <row r="142" spans="1:9" ht="14.25" customHeight="1">
      <c r="A142" t="s">
        <v>86</v>
      </c>
      <c r="G142" s="6"/>
    </row>
    <row r="143" spans="1:9" ht="14.25" customHeight="1">
      <c r="A143" t="s">
        <v>87</v>
      </c>
      <c r="F143" s="21">
        <v>100000</v>
      </c>
      <c r="G143" s="17"/>
      <c r="I143" s="17"/>
    </row>
    <row r="144" spans="1:9" ht="12.75" customHeight="1">
      <c r="A144" t="s">
        <v>88</v>
      </c>
      <c r="G144" s="17">
        <v>100000</v>
      </c>
      <c r="I144" s="17">
        <v>100000</v>
      </c>
    </row>
    <row r="145" spans="1:9" ht="15" customHeight="1">
      <c r="G145" s="25"/>
      <c r="I145" s="17"/>
    </row>
    <row r="146" spans="1:9" ht="12.75" customHeight="1">
      <c r="A146" s="20" t="s">
        <v>89</v>
      </c>
      <c r="G146" s="25">
        <v>9382680</v>
      </c>
      <c r="I146" s="17">
        <v>9382680</v>
      </c>
    </row>
    <row r="147" spans="1:9" ht="12.75" customHeight="1">
      <c r="G147" s="7"/>
      <c r="I147" s="7"/>
    </row>
    <row r="148" spans="1:9" ht="12.75" customHeight="1">
      <c r="A148" s="3" t="s">
        <v>90</v>
      </c>
      <c r="G148" s="7">
        <v>2023</v>
      </c>
      <c r="I148" s="7">
        <v>2022</v>
      </c>
    </row>
    <row r="149" spans="1:9" ht="12.75" customHeight="1">
      <c r="A149" s="4" t="s">
        <v>91</v>
      </c>
    </row>
    <row r="150" spans="1:9" ht="12.75" customHeight="1">
      <c r="A150" s="4" t="s">
        <v>92</v>
      </c>
      <c r="B150" s="6"/>
      <c r="C150" s="6"/>
      <c r="D150" s="6"/>
      <c r="E150" s="6"/>
      <c r="G150" s="8"/>
      <c r="I150" s="8"/>
    </row>
    <row r="151" spans="1:9" ht="12.75" customHeight="1">
      <c r="A151" s="5" t="s">
        <v>93</v>
      </c>
      <c r="B151" s="6"/>
      <c r="C151" s="6"/>
      <c r="D151" s="6"/>
      <c r="E151" s="6"/>
      <c r="G151" s="8">
        <v>28243540</v>
      </c>
      <c r="I151" s="8">
        <v>28243540</v>
      </c>
    </row>
    <row r="152" spans="1:9" ht="12.75" customHeight="1">
      <c r="A152" s="5" t="s">
        <v>94</v>
      </c>
      <c r="B152" s="6"/>
      <c r="C152" s="6"/>
      <c r="D152" s="6"/>
      <c r="E152" s="6"/>
      <c r="G152" s="8">
        <v>2860043</v>
      </c>
      <c r="I152" s="8">
        <v>2860043</v>
      </c>
    </row>
    <row r="153" spans="1:9" ht="12.75" customHeight="1">
      <c r="A153" s="5" t="s">
        <v>95</v>
      </c>
      <c r="B153" s="6"/>
      <c r="C153" s="6"/>
      <c r="D153" s="6"/>
      <c r="E153" s="6"/>
      <c r="G153" s="8">
        <v>3012617</v>
      </c>
      <c r="I153" s="8">
        <v>3012617</v>
      </c>
    </row>
    <row r="154" spans="1:9" ht="12.75" customHeight="1">
      <c r="A154" s="5" t="s">
        <v>96</v>
      </c>
      <c r="B154" s="6"/>
      <c r="C154" s="6"/>
      <c r="D154" s="6"/>
      <c r="E154" s="6"/>
      <c r="G154" s="8">
        <v>2693587</v>
      </c>
      <c r="I154" s="8">
        <v>2693587</v>
      </c>
    </row>
    <row r="155" spans="1:9" ht="12.75" customHeight="1">
      <c r="A155" s="5" t="s">
        <v>97</v>
      </c>
      <c r="G155" s="8">
        <v>318525</v>
      </c>
      <c r="I155" s="8">
        <v>318525</v>
      </c>
    </row>
    <row r="156" spans="1:9" ht="12.75" customHeight="1">
      <c r="A156" s="4" t="s">
        <v>98</v>
      </c>
      <c r="B156" s="6"/>
      <c r="C156" s="6"/>
      <c r="D156" s="6"/>
      <c r="E156" s="6"/>
      <c r="G156" s="8"/>
      <c r="I156" s="8"/>
    </row>
    <row r="157" spans="1:9" ht="12.75" customHeight="1">
      <c r="A157" s="5" t="s">
        <v>99</v>
      </c>
      <c r="B157" s="6"/>
      <c r="C157" s="6"/>
      <c r="D157" s="6"/>
      <c r="E157" s="6"/>
      <c r="G157" s="8">
        <v>94753</v>
      </c>
      <c r="I157" s="8">
        <v>94753</v>
      </c>
    </row>
    <row r="158" spans="1:9" ht="12.75" customHeight="1">
      <c r="A158" s="5" t="s">
        <v>100</v>
      </c>
      <c r="B158" s="6"/>
      <c r="C158" s="6"/>
      <c r="D158" s="6"/>
      <c r="E158" s="6"/>
      <c r="G158" s="8">
        <v>31240</v>
      </c>
      <c r="I158" s="8">
        <v>31240</v>
      </c>
    </row>
    <row r="159" spans="1:9" ht="12.75" customHeight="1">
      <c r="A159" s="5" t="s">
        <v>101</v>
      </c>
      <c r="B159" s="6"/>
      <c r="C159" s="6"/>
      <c r="D159" s="6"/>
      <c r="E159" s="6"/>
      <c r="G159" s="8">
        <v>48475</v>
      </c>
      <c r="I159" s="8">
        <v>48475</v>
      </c>
    </row>
    <row r="160" spans="1:9" ht="12.75" customHeight="1">
      <c r="A160" s="5" t="s">
        <v>102</v>
      </c>
      <c r="B160" s="6"/>
      <c r="C160" s="6"/>
      <c r="D160" s="6"/>
      <c r="E160" s="6"/>
      <c r="G160" s="8">
        <v>93435</v>
      </c>
      <c r="I160" s="8">
        <v>93435</v>
      </c>
    </row>
    <row r="161" spans="1:10" ht="12.75" customHeight="1">
      <c r="A161" s="5" t="s">
        <v>96</v>
      </c>
      <c r="G161" s="8">
        <v>71855</v>
      </c>
      <c r="I161" s="8">
        <v>71855</v>
      </c>
    </row>
    <row r="162" spans="1:10" ht="12.75" customHeight="1">
      <c r="A162" s="4" t="s">
        <v>103</v>
      </c>
      <c r="B162" s="6"/>
      <c r="C162" s="6"/>
      <c r="D162" s="6"/>
      <c r="E162" s="6"/>
      <c r="G162" s="8"/>
      <c r="I162" s="8"/>
    </row>
    <row r="163" spans="1:10" ht="12.75" customHeight="1">
      <c r="A163" s="5" t="s">
        <v>96</v>
      </c>
      <c r="G163" s="8">
        <v>103900</v>
      </c>
      <c r="I163" s="8">
        <v>103900</v>
      </c>
    </row>
    <row r="164" spans="1:10" ht="12.75" customHeight="1">
      <c r="A164" s="4" t="s">
        <v>104</v>
      </c>
      <c r="B164" s="6"/>
      <c r="C164" s="6"/>
      <c r="D164" s="6"/>
      <c r="E164" s="6"/>
      <c r="G164" s="8"/>
      <c r="I164" s="8"/>
    </row>
    <row r="165" spans="1:10" ht="12.75" customHeight="1">
      <c r="A165" s="5" t="s">
        <v>102</v>
      </c>
      <c r="G165" s="26">
        <v>27802</v>
      </c>
      <c r="I165" s="26">
        <v>27802</v>
      </c>
    </row>
    <row r="166" spans="1:10" ht="12.75" customHeight="1">
      <c r="A166" s="4" t="s">
        <v>105</v>
      </c>
      <c r="G166" s="17">
        <f>SUM(G150:G165)</f>
        <v>37599772</v>
      </c>
      <c r="I166" s="17">
        <f>SUM(I149:I165)</f>
        <v>37599772</v>
      </c>
    </row>
    <row r="167" spans="1:10" ht="12.75" customHeight="1">
      <c r="A167" s="4"/>
      <c r="G167" s="17"/>
      <c r="I167" s="17"/>
    </row>
    <row r="168" spans="1:10" ht="12.75" customHeight="1">
      <c r="A168" s="4"/>
      <c r="G168" s="17"/>
      <c r="I168" s="17"/>
    </row>
    <row r="169" spans="1:10" ht="12.75" customHeight="1">
      <c r="A169" s="4"/>
      <c r="G169" s="11"/>
      <c r="I169" s="11"/>
    </row>
    <row r="170" spans="1:10" ht="12.75" customHeight="1">
      <c r="A170" s="4"/>
      <c r="G170" s="11"/>
      <c r="I170" s="11"/>
    </row>
    <row r="171" spans="1:10" ht="12.75" customHeight="1">
      <c r="A171" s="4"/>
      <c r="G171" s="11"/>
      <c r="I171" s="11"/>
    </row>
    <row r="172" spans="1:10" ht="12.75" customHeight="1">
      <c r="A172" s="4"/>
      <c r="G172" s="11"/>
      <c r="I172" s="11"/>
    </row>
    <row r="173" spans="1:10" ht="12.75" customHeight="1">
      <c r="A173" s="4"/>
      <c r="G173" s="11"/>
      <c r="I173" s="11"/>
    </row>
    <row r="174" spans="1:10" ht="12.75" customHeight="1">
      <c r="A174" s="4" t="s">
        <v>106</v>
      </c>
      <c r="B174" s="6"/>
      <c r="C174" s="6"/>
      <c r="D174" s="6"/>
      <c r="E174" s="6"/>
      <c r="G174" s="8"/>
      <c r="I174" s="8"/>
    </row>
    <row r="175" spans="1:10" ht="12.75" customHeight="1">
      <c r="A175" s="5" t="s">
        <v>107</v>
      </c>
      <c r="B175" s="6"/>
      <c r="C175" s="6"/>
      <c r="D175" s="6"/>
      <c r="E175" s="6"/>
      <c r="G175" s="8">
        <f>22876660</f>
        <v>22876660</v>
      </c>
      <c r="I175" s="8">
        <v>18740619</v>
      </c>
      <c r="J175" s="18"/>
    </row>
    <row r="176" spans="1:10" ht="13.5" customHeight="1">
      <c r="A176" s="5" t="s">
        <v>108</v>
      </c>
      <c r="B176" s="6"/>
      <c r="C176" s="6"/>
      <c r="D176" s="6"/>
      <c r="E176" s="6"/>
      <c r="G176" s="8">
        <v>966124</v>
      </c>
      <c r="I176" s="8">
        <v>952549</v>
      </c>
    </row>
    <row r="177" spans="1:10" ht="14.25" customHeight="1">
      <c r="A177" s="5" t="s">
        <v>109</v>
      </c>
      <c r="B177" s="6"/>
      <c r="C177" s="6"/>
      <c r="D177" s="6"/>
      <c r="E177" s="6"/>
      <c r="G177" s="8">
        <v>8536203</v>
      </c>
      <c r="I177" s="8">
        <v>8536203</v>
      </c>
    </row>
    <row r="178" spans="1:10" ht="13.5" customHeight="1">
      <c r="A178" s="5" t="s">
        <v>98</v>
      </c>
      <c r="G178" s="8">
        <v>283333</v>
      </c>
      <c r="I178" s="8">
        <v>283333</v>
      </c>
      <c r="J178" s="18"/>
    </row>
    <row r="179" spans="1:10" ht="13.5" customHeight="1" thickBot="1">
      <c r="A179" s="4" t="s">
        <v>110</v>
      </c>
      <c r="G179" s="9">
        <f>SUM(G175:G178)</f>
        <v>32662320</v>
      </c>
      <c r="I179" s="9">
        <f>SUM(I175:I178)</f>
        <v>28512704</v>
      </c>
      <c r="J179" s="18"/>
    </row>
    <row r="180" spans="1:10" ht="13.5" customHeight="1" thickTop="1">
      <c r="A180" s="4"/>
    </row>
    <row r="181" spans="1:10" ht="12.75" customHeight="1">
      <c r="A181" s="4" t="s">
        <v>111</v>
      </c>
      <c r="B181" s="6"/>
      <c r="C181" s="6"/>
      <c r="D181" s="6"/>
      <c r="E181" s="6"/>
    </row>
    <row r="182" spans="1:10" ht="12.75" customHeight="1">
      <c r="A182" s="4" t="s">
        <v>112</v>
      </c>
      <c r="B182" s="6"/>
      <c r="C182" s="6"/>
      <c r="D182" s="6"/>
      <c r="E182" s="6"/>
      <c r="G182" s="8"/>
      <c r="I182" s="8"/>
      <c r="J182" s="18"/>
    </row>
    <row r="183" spans="1:10" ht="12.75" customHeight="1">
      <c r="A183" s="5" t="s">
        <v>113</v>
      </c>
      <c r="B183" s="6"/>
      <c r="C183" s="6"/>
      <c r="D183" s="6"/>
      <c r="E183" s="6"/>
      <c r="G183" s="8">
        <v>23090159</v>
      </c>
      <c r="I183" s="8">
        <v>21931159</v>
      </c>
    </row>
    <row r="184" spans="1:10" ht="12.75" customHeight="1">
      <c r="A184" s="5" t="s">
        <v>114</v>
      </c>
      <c r="B184" s="6"/>
      <c r="C184" s="6"/>
      <c r="D184" s="6"/>
      <c r="E184" s="6"/>
      <c r="G184" s="8">
        <v>1106561</v>
      </c>
      <c r="I184" s="8">
        <v>1106561</v>
      </c>
    </row>
    <row r="185" spans="1:10" ht="12.75" customHeight="1">
      <c r="A185" s="5" t="s">
        <v>115</v>
      </c>
      <c r="B185" s="6"/>
      <c r="C185" s="6"/>
      <c r="D185" s="6"/>
      <c r="E185" s="6"/>
      <c r="G185" s="8">
        <v>15000</v>
      </c>
      <c r="I185" s="8">
        <v>15000</v>
      </c>
    </row>
    <row r="186" spans="1:10" ht="12.75" customHeight="1">
      <c r="A186" s="5" t="s">
        <v>116</v>
      </c>
      <c r="B186" s="6"/>
      <c r="C186" s="6"/>
      <c r="D186" s="6"/>
      <c r="E186" s="6"/>
      <c r="G186" s="8">
        <v>9700633</v>
      </c>
      <c r="I186" s="8">
        <v>5735440</v>
      </c>
    </row>
    <row r="187" spans="1:10" ht="12.75" customHeight="1">
      <c r="A187" s="5" t="s">
        <v>117</v>
      </c>
      <c r="B187" s="6"/>
      <c r="C187" s="6"/>
      <c r="D187" s="6"/>
      <c r="E187" s="6"/>
      <c r="G187" s="8">
        <v>4024750</v>
      </c>
      <c r="I187" s="8">
        <v>4024750</v>
      </c>
    </row>
    <row r="188" spans="1:10" ht="12.75" customHeight="1">
      <c r="A188" s="5" t="s">
        <v>118</v>
      </c>
      <c r="B188" s="6"/>
      <c r="C188" s="6"/>
      <c r="D188" s="6"/>
      <c r="E188" s="6"/>
      <c r="G188" s="8">
        <v>252882</v>
      </c>
      <c r="I188" s="8">
        <v>258514</v>
      </c>
    </row>
    <row r="189" spans="1:10" ht="12.75" customHeight="1">
      <c r="A189" s="5" t="s">
        <v>119</v>
      </c>
      <c r="B189" s="6"/>
      <c r="C189" s="6"/>
      <c r="D189" s="6"/>
      <c r="E189" s="6"/>
      <c r="G189" s="8">
        <v>1306629</v>
      </c>
      <c r="I189" s="8">
        <v>301664</v>
      </c>
    </row>
    <row r="190" spans="1:10" ht="12.75" customHeight="1">
      <c r="A190" s="4" t="s">
        <v>120</v>
      </c>
      <c r="B190" s="6"/>
      <c r="C190" s="6"/>
      <c r="D190" s="6"/>
      <c r="E190" s="6"/>
      <c r="G190" s="8"/>
      <c r="I190" s="8"/>
    </row>
    <row r="191" spans="1:10" ht="12.75" customHeight="1">
      <c r="A191" s="5" t="s">
        <v>119</v>
      </c>
      <c r="B191" s="6"/>
      <c r="C191" s="6"/>
      <c r="D191" s="6"/>
      <c r="E191" s="6"/>
      <c r="G191" s="8">
        <v>2882554</v>
      </c>
      <c r="I191" s="8">
        <v>2882554</v>
      </c>
    </row>
    <row r="192" spans="1:10" ht="12.75" customHeight="1">
      <c r="A192" s="5" t="s">
        <v>118</v>
      </c>
      <c r="B192" s="6"/>
      <c r="C192" s="6"/>
      <c r="D192" s="6"/>
      <c r="E192" s="6"/>
      <c r="G192" s="8">
        <f>500750-62824</f>
        <v>437926</v>
      </c>
      <c r="I192" s="8">
        <f>500750-62824</f>
        <v>437926</v>
      </c>
    </row>
    <row r="193" spans="1:9" ht="12.75" customHeight="1">
      <c r="A193" s="4" t="s">
        <v>121</v>
      </c>
      <c r="B193" s="6"/>
      <c r="C193" s="6"/>
      <c r="D193" s="6"/>
      <c r="E193" s="6"/>
      <c r="G193" s="8"/>
      <c r="I193" s="8"/>
    </row>
    <row r="194" spans="1:9" ht="12.75" customHeight="1">
      <c r="A194" s="5" t="s">
        <v>119</v>
      </c>
      <c r="B194" s="6"/>
      <c r="C194" s="6"/>
      <c r="D194" s="6"/>
      <c r="E194" s="6"/>
      <c r="G194" s="8">
        <v>0</v>
      </c>
      <c r="I194" s="8">
        <v>0</v>
      </c>
    </row>
    <row r="195" spans="1:9" ht="12.75" customHeight="1">
      <c r="A195" s="4" t="s">
        <v>122</v>
      </c>
      <c r="B195" s="6"/>
      <c r="C195" s="6"/>
      <c r="D195" s="6"/>
      <c r="E195" s="6"/>
      <c r="G195" s="8"/>
      <c r="I195" s="8"/>
    </row>
    <row r="196" spans="1:9" ht="12.75" customHeight="1">
      <c r="A196" s="5" t="s">
        <v>118</v>
      </c>
      <c r="B196" s="6"/>
      <c r="C196" s="6"/>
      <c r="D196" s="6"/>
      <c r="E196" s="6"/>
      <c r="G196" s="8">
        <v>24500</v>
      </c>
      <c r="I196" s="8">
        <v>24500</v>
      </c>
    </row>
    <row r="197" spans="1:9" ht="13.5" customHeight="1">
      <c r="A197" s="5" t="s">
        <v>119</v>
      </c>
      <c r="B197" s="4"/>
      <c r="C197" s="4"/>
      <c r="D197" s="4"/>
      <c r="G197" s="8">
        <v>444220</v>
      </c>
      <c r="I197" s="8">
        <v>444220</v>
      </c>
    </row>
    <row r="198" spans="1:9" ht="13.5" customHeight="1" thickBot="1">
      <c r="A198" s="4" t="s">
        <v>123</v>
      </c>
      <c r="B198" s="4"/>
      <c r="C198" s="4"/>
      <c r="D198" s="4"/>
      <c r="G198" s="12">
        <f>SUM(G183:G197)</f>
        <v>43285814</v>
      </c>
      <c r="I198" s="12">
        <f>SUM(I183:I197)</f>
        <v>37162288</v>
      </c>
    </row>
    <row r="199" spans="1:9" ht="13.5" customHeight="1" thickTop="1">
      <c r="A199" s="4"/>
    </row>
    <row r="200" spans="1:9" ht="12.75" customHeight="1">
      <c r="A200" s="3" t="s">
        <v>124</v>
      </c>
      <c r="B200" s="6"/>
      <c r="C200" s="6"/>
      <c r="D200" s="6"/>
      <c r="E200" s="6"/>
      <c r="G200" s="8"/>
      <c r="I200" s="8"/>
    </row>
    <row r="201" spans="1:9" ht="12.75" customHeight="1">
      <c r="A201" s="5" t="s">
        <v>125</v>
      </c>
      <c r="B201" s="6"/>
      <c r="C201" s="6"/>
      <c r="D201" s="6"/>
      <c r="E201" s="6"/>
      <c r="G201" s="8">
        <v>1503381</v>
      </c>
      <c r="I201" s="8">
        <v>1503381</v>
      </c>
    </row>
    <row r="202" spans="1:9" ht="12.75" customHeight="1">
      <c r="A202" s="5" t="s">
        <v>126</v>
      </c>
      <c r="B202" s="6"/>
      <c r="C202" s="6"/>
      <c r="D202" s="6"/>
      <c r="E202" s="6"/>
      <c r="G202" s="8">
        <v>35051</v>
      </c>
      <c r="I202" s="8">
        <v>35051</v>
      </c>
    </row>
    <row r="203" spans="1:9" ht="12.75" customHeight="1">
      <c r="A203" s="5" t="s">
        <v>127</v>
      </c>
      <c r="B203" s="6"/>
      <c r="C203" s="6"/>
      <c r="D203" s="6"/>
      <c r="E203" s="6"/>
      <c r="G203" s="8">
        <v>12675</v>
      </c>
      <c r="I203" s="8">
        <v>12675</v>
      </c>
    </row>
    <row r="204" spans="1:9" ht="13.5" customHeight="1">
      <c r="A204" s="5" t="s">
        <v>128</v>
      </c>
      <c r="G204" s="8">
        <v>72331</v>
      </c>
      <c r="I204" s="8">
        <v>72331</v>
      </c>
    </row>
    <row r="205" spans="1:9" ht="13.5" customHeight="1" thickBot="1">
      <c r="A205" s="4" t="s">
        <v>129</v>
      </c>
      <c r="G205" s="12">
        <f>SUM(G201:G204)</f>
        <v>1623438</v>
      </c>
      <c r="I205" s="12">
        <f>SUM(I201:I204)</f>
        <v>1623438</v>
      </c>
    </row>
    <row r="206" spans="1:9" ht="12.75" customHeight="1" thickTop="1">
      <c r="A206" s="4"/>
    </row>
    <row r="207" spans="1:9" ht="12.75" customHeight="1">
      <c r="A207" s="4" t="s">
        <v>130</v>
      </c>
    </row>
    <row r="208" spans="1:9" ht="12.75" customHeight="1">
      <c r="A208" s="4" t="s">
        <v>131</v>
      </c>
      <c r="B208" s="6"/>
      <c r="C208" s="6"/>
      <c r="D208" s="6"/>
      <c r="E208" s="6"/>
      <c r="G208" s="8"/>
      <c r="I208" s="8"/>
    </row>
    <row r="209" spans="1:9" ht="12.75" customHeight="1">
      <c r="A209" s="6" t="s">
        <v>132</v>
      </c>
      <c r="B209" s="6"/>
      <c r="C209" s="6"/>
      <c r="D209" s="6"/>
      <c r="E209" s="6"/>
      <c r="G209" s="8">
        <v>748248</v>
      </c>
      <c r="I209" s="8">
        <v>748248</v>
      </c>
    </row>
    <row r="210" spans="1:9" ht="12.75" customHeight="1">
      <c r="A210" s="6" t="s">
        <v>133</v>
      </c>
      <c r="B210" s="6"/>
      <c r="C210" s="6"/>
      <c r="D210" s="6"/>
      <c r="E210" s="6"/>
      <c r="G210" s="8">
        <v>80000</v>
      </c>
      <c r="I210" s="8">
        <v>80000</v>
      </c>
    </row>
    <row r="211" spans="1:9" ht="12.75" customHeight="1">
      <c r="A211" s="6" t="s">
        <v>134</v>
      </c>
      <c r="B211" s="6"/>
      <c r="C211" s="6"/>
      <c r="D211" s="6"/>
      <c r="E211" s="6"/>
      <c r="G211" s="8">
        <v>100592</v>
      </c>
      <c r="I211" s="8">
        <v>100592</v>
      </c>
    </row>
    <row r="212" spans="1:9" ht="12.75" customHeight="1">
      <c r="A212" s="6" t="s">
        <v>135</v>
      </c>
      <c r="B212" s="6"/>
      <c r="C212" s="6"/>
      <c r="D212" s="6"/>
      <c r="E212" s="6"/>
      <c r="G212" s="8">
        <v>1197658</v>
      </c>
      <c r="I212" s="8">
        <v>1197658</v>
      </c>
    </row>
    <row r="213" spans="1:9" ht="12.75" customHeight="1">
      <c r="A213" s="6" t="s">
        <v>136</v>
      </c>
      <c r="B213" s="6"/>
      <c r="C213" s="6"/>
      <c r="D213" s="6"/>
      <c r="E213" s="6"/>
      <c r="G213" s="8">
        <v>117960</v>
      </c>
      <c r="I213" s="8">
        <v>117960</v>
      </c>
    </row>
    <row r="214" spans="1:9" ht="12.75" customHeight="1">
      <c r="A214" s="6" t="s">
        <v>137</v>
      </c>
      <c r="B214" s="6"/>
      <c r="C214" s="6"/>
      <c r="D214" s="6"/>
      <c r="E214" s="6"/>
      <c r="G214" s="8">
        <v>18072</v>
      </c>
      <c r="I214" s="8">
        <v>18072</v>
      </c>
    </row>
    <row r="215" spans="1:9" ht="12.75" customHeight="1">
      <c r="A215" s="6" t="s">
        <v>138</v>
      </c>
      <c r="B215" s="6"/>
      <c r="C215" s="6"/>
      <c r="D215" s="6"/>
      <c r="E215" s="6"/>
      <c r="G215" s="8">
        <v>80000</v>
      </c>
      <c r="I215" s="8">
        <v>80000</v>
      </c>
    </row>
    <row r="216" spans="1:9" ht="12.75" customHeight="1">
      <c r="A216" s="6" t="s">
        <v>139</v>
      </c>
      <c r="B216" s="6"/>
      <c r="C216" s="6"/>
      <c r="D216" s="6"/>
      <c r="E216" s="6"/>
      <c r="G216" s="8">
        <v>122050</v>
      </c>
      <c r="I216" s="8">
        <v>122050</v>
      </c>
    </row>
    <row r="217" spans="1:9" ht="12.75" customHeight="1">
      <c r="A217" s="6" t="s">
        <v>140</v>
      </c>
      <c r="B217" s="6"/>
      <c r="C217" s="6"/>
      <c r="D217" s="6"/>
      <c r="E217" s="6"/>
      <c r="G217" s="8">
        <v>17818</v>
      </c>
      <c r="I217" s="8">
        <v>17818</v>
      </c>
    </row>
    <row r="218" spans="1:9" ht="12.75" customHeight="1">
      <c r="A218" s="6" t="s">
        <v>141</v>
      </c>
      <c r="B218" s="6"/>
      <c r="C218" s="6"/>
      <c r="D218" s="6"/>
      <c r="E218" s="6"/>
      <c r="G218" s="8">
        <v>60138</v>
      </c>
      <c r="I218" s="8">
        <v>60138</v>
      </c>
    </row>
    <row r="219" spans="1:9" ht="12.75" customHeight="1">
      <c r="A219" s="6" t="s">
        <v>142</v>
      </c>
      <c r="B219" s="6"/>
      <c r="C219" s="6"/>
      <c r="D219" s="6"/>
      <c r="E219" s="6"/>
      <c r="G219" s="8">
        <v>24258</v>
      </c>
      <c r="I219" s="8">
        <v>24258</v>
      </c>
    </row>
    <row r="220" spans="1:9" ht="12.75" customHeight="1">
      <c r="A220" s="6" t="s">
        <v>143</v>
      </c>
      <c r="B220" s="6"/>
      <c r="C220" s="6"/>
      <c r="D220" s="6"/>
      <c r="E220" s="6"/>
      <c r="G220" s="8">
        <v>200454</v>
      </c>
      <c r="I220" s="8">
        <v>200454</v>
      </c>
    </row>
    <row r="221" spans="1:9" ht="12.75" customHeight="1">
      <c r="A221" s="6" t="s">
        <v>144</v>
      </c>
      <c r="B221" s="6"/>
      <c r="C221" s="6"/>
      <c r="D221" s="6"/>
      <c r="E221" s="6"/>
      <c r="G221" s="26">
        <v>11536</v>
      </c>
      <c r="I221" s="26">
        <v>11536</v>
      </c>
    </row>
    <row r="222" spans="1:9" ht="12.75" customHeight="1">
      <c r="A222" s="14" t="s">
        <v>145</v>
      </c>
      <c r="G222" s="16">
        <f>SUM(G209:G221)</f>
        <v>2778784</v>
      </c>
      <c r="I222" s="16">
        <f>SUM(I209:I221)</f>
        <v>2778784</v>
      </c>
    </row>
    <row r="223" spans="1:9" ht="12.75" customHeight="1">
      <c r="A223" s="5"/>
    </row>
    <row r="224" spans="1:9" ht="12.75" customHeight="1">
      <c r="A224" s="4" t="s">
        <v>146</v>
      </c>
    </row>
    <row r="226" spans="1:9" ht="12.75" customHeight="1">
      <c r="A226" s="6" t="s">
        <v>147</v>
      </c>
    </row>
    <row r="227" spans="1:9" ht="12.75" customHeight="1">
      <c r="A227" s="6" t="s">
        <v>148</v>
      </c>
    </row>
    <row r="228" spans="1:9" ht="12.75" customHeight="1">
      <c r="A228" s="6" t="s">
        <v>149</v>
      </c>
    </row>
    <row r="229" spans="1:9" ht="12.75" customHeight="1">
      <c r="A229" s="6"/>
    </row>
    <row r="230" spans="1:9" ht="12.75" customHeight="1">
      <c r="A230" s="6" t="s">
        <v>150</v>
      </c>
    </row>
    <row r="231" spans="1:9" ht="12.75" customHeight="1">
      <c r="A231" s="6" t="s">
        <v>151</v>
      </c>
      <c r="G231" s="8">
        <v>653969</v>
      </c>
      <c r="I231" s="8">
        <v>653969</v>
      </c>
    </row>
    <row r="232" spans="1:9" ht="12.75" customHeight="1">
      <c r="A232" s="6" t="s">
        <v>152</v>
      </c>
    </row>
    <row r="233" spans="1:9" ht="12.75" customHeight="1">
      <c r="A233" s="6"/>
      <c r="G233" s="26">
        <f>308769</f>
        <v>308769</v>
      </c>
      <c r="I233" s="26">
        <f>308769</f>
        <v>308769</v>
      </c>
    </row>
    <row r="234" spans="1:9" ht="15" customHeight="1" thickBot="1">
      <c r="A234" s="6" t="s">
        <v>153</v>
      </c>
      <c r="B234" s="4" t="s">
        <v>154</v>
      </c>
      <c r="C234" s="4"/>
      <c r="D234" s="4"/>
      <c r="E234" s="4"/>
      <c r="G234" s="27">
        <f>+G233+G231</f>
        <v>962738</v>
      </c>
      <c r="I234" s="27">
        <f>+I233+I231</f>
        <v>962738</v>
      </c>
    </row>
    <row r="235" spans="1:9" ht="13.5" customHeight="1" thickTop="1"/>
    <row r="237" spans="1:9" ht="12.75" customHeight="1">
      <c r="A237" s="4" t="s">
        <v>155</v>
      </c>
      <c r="B237" s="6"/>
      <c r="C237" s="6"/>
      <c r="D237" s="6"/>
      <c r="E237" s="6"/>
      <c r="F237" s="6"/>
      <c r="G237" s="8"/>
      <c r="I237" s="8"/>
    </row>
    <row r="238" spans="1:9" ht="12.75" customHeight="1">
      <c r="A238" s="6" t="s">
        <v>156</v>
      </c>
      <c r="B238" s="6"/>
      <c r="C238" s="6"/>
      <c r="D238" s="6"/>
      <c r="E238" s="6"/>
      <c r="F238" s="6"/>
      <c r="G238" s="8">
        <v>45860</v>
      </c>
      <c r="I238" s="8">
        <v>45860</v>
      </c>
    </row>
    <row r="239" spans="1:9" ht="12.75" customHeight="1">
      <c r="A239" s="6" t="s">
        <v>157</v>
      </c>
      <c r="B239" s="6"/>
      <c r="C239" s="6"/>
      <c r="D239" s="6"/>
      <c r="E239" s="6"/>
      <c r="F239" s="6"/>
      <c r="G239" s="8">
        <v>27000</v>
      </c>
      <c r="I239" s="8">
        <v>27000</v>
      </c>
    </row>
    <row r="240" spans="1:9" ht="13.5" customHeight="1">
      <c r="A240" s="6" t="s">
        <v>158</v>
      </c>
      <c r="B240" s="14"/>
      <c r="C240" s="6"/>
      <c r="D240" s="6"/>
      <c r="E240" s="6"/>
      <c r="F240" s="6"/>
      <c r="G240" s="8">
        <v>10640</v>
      </c>
      <c r="I240" s="8">
        <v>10640</v>
      </c>
    </row>
    <row r="241" spans="1:9" ht="13.5" customHeight="1" thickBot="1">
      <c r="A241" s="14" t="s">
        <v>159</v>
      </c>
      <c r="G241" s="12">
        <f>SUM(G238:G240)</f>
        <v>83500</v>
      </c>
      <c r="I241" s="12">
        <f>SUM(I238:I240)</f>
        <v>83500</v>
      </c>
    </row>
    <row r="242" spans="1:9" ht="12.75" customHeight="1" thickTop="1">
      <c r="B242" s="4"/>
      <c r="C242" s="4"/>
      <c r="D242" s="4"/>
      <c r="E242" s="4"/>
      <c r="F242" s="28"/>
      <c r="G242" s="8"/>
      <c r="I242" s="8"/>
    </row>
    <row r="243" spans="1:9" ht="12.75" customHeight="1">
      <c r="A243" s="4" t="s">
        <v>160</v>
      </c>
      <c r="B243" s="4"/>
      <c r="C243" s="4"/>
      <c r="D243" s="4"/>
      <c r="E243" s="4"/>
      <c r="F243" s="28"/>
      <c r="G243" s="8">
        <v>0</v>
      </c>
      <c r="I243" s="8">
        <v>0</v>
      </c>
    </row>
    <row r="244" spans="1:9" ht="12.75" customHeight="1">
      <c r="A244" s="4" t="s">
        <v>161</v>
      </c>
      <c r="B244" s="4"/>
      <c r="C244" s="4"/>
      <c r="D244" s="4"/>
      <c r="E244" s="4"/>
      <c r="F244" s="28"/>
      <c r="G244" s="16">
        <f>+G243</f>
        <v>0</v>
      </c>
      <c r="I244" s="16">
        <f>+I243</f>
        <v>0</v>
      </c>
    </row>
    <row r="245" spans="1:9" ht="12.75" customHeight="1">
      <c r="A245" s="4"/>
      <c r="B245" s="4"/>
      <c r="C245" s="4"/>
      <c r="D245" s="4"/>
      <c r="E245" s="4"/>
      <c r="F245" s="28"/>
      <c r="G245" s="16"/>
      <c r="I245" s="16"/>
    </row>
    <row r="246" spans="1:9" ht="12.75" customHeight="1">
      <c r="A246" s="4" t="s">
        <v>162</v>
      </c>
      <c r="B246" s="4"/>
      <c r="C246" s="4"/>
      <c r="D246" s="4"/>
      <c r="E246" s="4"/>
      <c r="F246" s="28"/>
      <c r="G246" s="16">
        <v>240000</v>
      </c>
      <c r="I246" s="16">
        <v>240000</v>
      </c>
    </row>
    <row r="247" spans="1:9" ht="12.75" customHeight="1">
      <c r="A247" s="4"/>
      <c r="B247" s="4"/>
      <c r="C247" s="4"/>
      <c r="D247" s="4"/>
      <c r="E247" s="4"/>
      <c r="F247" s="28"/>
      <c r="G247" s="16"/>
      <c r="I247" s="16"/>
    </row>
    <row r="248" spans="1:9" ht="12.75" customHeight="1">
      <c r="A248" s="4"/>
      <c r="B248" s="4"/>
      <c r="C248" s="4"/>
      <c r="D248" s="4"/>
      <c r="E248" s="4"/>
      <c r="F248" s="28"/>
      <c r="G248" s="16"/>
      <c r="I248" s="16"/>
    </row>
    <row r="249" spans="1:9" ht="12.75" customHeight="1">
      <c r="A249" s="4"/>
      <c r="B249" s="4"/>
      <c r="C249" s="4"/>
      <c r="D249" s="4"/>
      <c r="E249" s="4"/>
      <c r="F249" s="28"/>
      <c r="G249" s="28"/>
    </row>
    <row r="250" spans="1:9" ht="12.75" customHeight="1">
      <c r="A250" s="4"/>
    </row>
    <row r="251" spans="1:9" ht="12.75" customHeight="1">
      <c r="A251" s="4" t="s">
        <v>163</v>
      </c>
    </row>
    <row r="252" spans="1:9" ht="12.75" customHeight="1">
      <c r="A252" s="3" t="s">
        <v>164</v>
      </c>
    </row>
    <row r="253" spans="1:9" ht="12.75" customHeight="1">
      <c r="A253" s="6" t="s">
        <v>165</v>
      </c>
    </row>
    <row r="254" spans="1:9" ht="12.75" customHeight="1">
      <c r="A254" s="6" t="s">
        <v>166</v>
      </c>
    </row>
    <row r="255" spans="1:9" ht="12.75" customHeight="1">
      <c r="A255" s="6" t="s">
        <v>167</v>
      </c>
    </row>
    <row r="256" spans="1:9" ht="12.75" customHeight="1">
      <c r="A256" s="6" t="s">
        <v>168</v>
      </c>
    </row>
    <row r="257" spans="1:9" ht="14.25" customHeight="1">
      <c r="A257" s="6" t="s">
        <v>169</v>
      </c>
    </row>
    <row r="258" spans="1:9" ht="15" customHeight="1"/>
    <row r="259" spans="1:9" ht="12.75" customHeight="1">
      <c r="A259" s="20" t="s">
        <v>170</v>
      </c>
    </row>
    <row r="260" spans="1:9" ht="12.75" customHeight="1">
      <c r="A260" s="6" t="s">
        <v>165</v>
      </c>
    </row>
    <row r="261" spans="1:9" ht="12.75" customHeight="1">
      <c r="A261" s="6" t="s">
        <v>171</v>
      </c>
    </row>
    <row r="262" spans="1:9" ht="12.75" customHeight="1">
      <c r="A262" s="6" t="s">
        <v>172</v>
      </c>
    </row>
    <row r="263" spans="1:9" ht="12.75" customHeight="1">
      <c r="A263" s="6" t="s">
        <v>173</v>
      </c>
    </row>
    <row r="264" spans="1:9" ht="12.75" customHeight="1">
      <c r="A264" s="6" t="s">
        <v>174</v>
      </c>
    </row>
    <row r="265" spans="1:9" ht="14.25" customHeight="1">
      <c r="A265" s="6" t="s">
        <v>175</v>
      </c>
      <c r="G265" s="8"/>
      <c r="I265" s="8"/>
    </row>
    <row r="266" spans="1:9" ht="13.5" customHeight="1">
      <c r="A266" t="s">
        <v>176</v>
      </c>
      <c r="B266" s="4"/>
      <c r="C266" s="4"/>
      <c r="D266" s="4"/>
      <c r="E266" s="4"/>
      <c r="G266" s="8">
        <v>3528720</v>
      </c>
      <c r="I266" s="8">
        <v>3528720</v>
      </c>
    </row>
    <row r="267" spans="1:9" ht="13.5" customHeight="1" thickBot="1">
      <c r="A267" s="4" t="s">
        <v>177</v>
      </c>
      <c r="B267" s="4"/>
      <c r="C267" s="4"/>
      <c r="D267" s="4"/>
      <c r="E267" s="4"/>
      <c r="G267" s="22">
        <f>+G266+G234+G222+G241+G244+G246</f>
        <v>7593742</v>
      </c>
      <c r="I267" s="22">
        <f>+I266+I234+I222+I241+I244+I246</f>
        <v>7593742</v>
      </c>
    </row>
    <row r="268" spans="1:9" ht="12.75" customHeight="1" thickTop="1">
      <c r="A268" s="4"/>
      <c r="B268" s="4"/>
      <c r="C268" s="4"/>
      <c r="D268" s="4"/>
      <c r="E268" s="4"/>
      <c r="F268" s="28"/>
    </row>
    <row r="269" spans="1:9" ht="12.75" customHeight="1">
      <c r="A269" s="4"/>
      <c r="F269" s="21"/>
      <c r="G269" s="28"/>
    </row>
    <row r="270" spans="1:9" ht="12.75" customHeight="1">
      <c r="A270" s="4" t="s">
        <v>178</v>
      </c>
      <c r="F270" s="21"/>
      <c r="G270" s="28"/>
    </row>
    <row r="271" spans="1:9" ht="12.75" customHeight="1">
      <c r="A271" s="4"/>
      <c r="B271" s="6"/>
      <c r="C271" s="6"/>
      <c r="D271" s="6"/>
      <c r="E271" s="6"/>
      <c r="F271" s="6"/>
      <c r="G271" s="8"/>
      <c r="I271" s="8"/>
    </row>
    <row r="272" spans="1:9" ht="12.75" customHeight="1">
      <c r="A272" s="5" t="s">
        <v>179</v>
      </c>
      <c r="B272" s="6"/>
      <c r="C272" s="6"/>
      <c r="D272" s="6"/>
      <c r="E272" s="6"/>
      <c r="F272" s="6"/>
      <c r="G272" s="8">
        <v>3050306</v>
      </c>
      <c r="I272" s="8">
        <v>3050306</v>
      </c>
    </row>
    <row r="273" spans="1:9" ht="12.75" customHeight="1">
      <c r="A273" s="5" t="s">
        <v>180</v>
      </c>
      <c r="B273" s="6"/>
      <c r="C273" s="6"/>
      <c r="D273" s="6"/>
      <c r="E273" s="6"/>
      <c r="F273" s="6"/>
      <c r="G273" s="8">
        <v>68843</v>
      </c>
      <c r="I273" s="8">
        <v>68843</v>
      </c>
    </row>
    <row r="274" spans="1:9" ht="12.75" customHeight="1">
      <c r="A274" s="5" t="s">
        <v>181</v>
      </c>
      <c r="B274" s="6"/>
      <c r="C274" s="6"/>
      <c r="D274" s="6"/>
      <c r="E274" s="6"/>
      <c r="F274" s="6"/>
      <c r="G274" s="8">
        <v>4294878</v>
      </c>
      <c r="I274" s="8">
        <v>4294878</v>
      </c>
    </row>
    <row r="275" spans="1:9" ht="12.75" customHeight="1">
      <c r="A275" s="5" t="s">
        <v>182</v>
      </c>
      <c r="G275" s="26">
        <v>174501</v>
      </c>
      <c r="I275" s="26">
        <v>174501</v>
      </c>
    </row>
    <row r="276" spans="1:9" ht="12.75" customHeight="1">
      <c r="A276" s="4"/>
      <c r="G276" s="6"/>
      <c r="I276" s="6"/>
    </row>
    <row r="277" spans="1:9" ht="12.75" customHeight="1">
      <c r="A277" s="4" t="s">
        <v>183</v>
      </c>
      <c r="G277" s="16">
        <f>SUM(G272:G276)</f>
        <v>7588528</v>
      </c>
      <c r="I277" s="16">
        <f>SUM(I272:I276)</f>
        <v>7588528</v>
      </c>
    </row>
    <row r="278" spans="1:9" ht="12.75" customHeight="1">
      <c r="A278" s="5"/>
    </row>
    <row r="279" spans="1:9" ht="12.75" customHeight="1">
      <c r="A279" s="4" t="s">
        <v>184</v>
      </c>
    </row>
    <row r="280" spans="1:9" ht="12.75" customHeight="1">
      <c r="A280" s="4"/>
      <c r="B280" s="6"/>
      <c r="C280" s="6"/>
      <c r="D280" s="6"/>
      <c r="E280" s="6"/>
      <c r="F280" s="6"/>
    </row>
    <row r="281" spans="1:9" ht="12.75" customHeight="1">
      <c r="A281" s="4" t="s">
        <v>131</v>
      </c>
      <c r="B281" s="6"/>
      <c r="C281" s="6"/>
      <c r="D281" s="6"/>
      <c r="E281" s="6"/>
      <c r="F281" s="6"/>
      <c r="G281" s="8"/>
      <c r="I281" s="8"/>
    </row>
    <row r="282" spans="1:9" ht="12.75" customHeight="1">
      <c r="A282" s="5" t="s">
        <v>185</v>
      </c>
      <c r="B282" s="6"/>
      <c r="C282" s="6"/>
      <c r="D282" s="6"/>
      <c r="E282" s="6"/>
      <c r="F282" s="6"/>
      <c r="G282" s="8">
        <v>116605</v>
      </c>
      <c r="I282" s="8">
        <v>92552</v>
      </c>
    </row>
    <row r="283" spans="1:9" ht="12.75" customHeight="1">
      <c r="A283" s="5" t="s">
        <v>186</v>
      </c>
      <c r="B283" s="6"/>
      <c r="C283" s="6"/>
      <c r="D283" s="6"/>
      <c r="E283" s="6"/>
      <c r="F283" s="6"/>
      <c r="G283" s="8">
        <v>16571</v>
      </c>
      <c r="I283" s="8">
        <v>17170</v>
      </c>
    </row>
    <row r="284" spans="1:9" ht="13.5" customHeight="1">
      <c r="A284" s="5" t="s">
        <v>97</v>
      </c>
      <c r="B284" s="4"/>
      <c r="C284" s="4"/>
      <c r="D284" s="4"/>
      <c r="G284" s="8">
        <v>38941</v>
      </c>
      <c r="I284" s="8">
        <v>38941</v>
      </c>
    </row>
    <row r="285" spans="1:9" ht="14.85" customHeight="1" thickBot="1">
      <c r="A285" s="4" t="s">
        <v>187</v>
      </c>
      <c r="G285" s="27">
        <f>SUM(G282:G284)</f>
        <v>172117</v>
      </c>
      <c r="I285" s="27">
        <f>SUM(I282:I284)</f>
        <v>148663</v>
      </c>
    </row>
    <row r="286" spans="1:9" ht="14.85" customHeight="1" thickTop="1">
      <c r="G286" s="6"/>
      <c r="I286" s="6"/>
    </row>
    <row r="287" spans="1:9" ht="14.1" customHeight="1">
      <c r="G287" s="6"/>
      <c r="I287" s="6"/>
    </row>
    <row r="288" spans="1:9" ht="13.5" customHeight="1">
      <c r="A288" s="14" t="s">
        <v>188</v>
      </c>
      <c r="G288" s="29"/>
      <c r="I288" s="29"/>
    </row>
    <row r="289" spans="1:10" ht="13.5" customHeight="1" thickBot="1">
      <c r="A289" t="s">
        <v>189</v>
      </c>
      <c r="G289" s="27">
        <v>209286</v>
      </c>
      <c r="I289" s="27">
        <v>209286</v>
      </c>
    </row>
    <row r="290" spans="1:10" ht="12.75" customHeight="1" thickTop="1">
      <c r="F290" s="11"/>
    </row>
    <row r="291" spans="1:10" ht="12.75" customHeight="1">
      <c r="A291" s="3" t="s">
        <v>190</v>
      </c>
      <c r="F291" s="11"/>
    </row>
    <row r="292" spans="1:10" ht="12.75" customHeight="1">
      <c r="A292" s="3"/>
      <c r="B292" s="6"/>
      <c r="C292" s="6"/>
      <c r="D292" s="6"/>
      <c r="E292" s="6"/>
      <c r="F292" s="6"/>
      <c r="G292" s="8"/>
      <c r="I292" s="8"/>
    </row>
    <row r="293" spans="1:10" ht="12.75" customHeight="1">
      <c r="A293" s="5" t="s">
        <v>191</v>
      </c>
      <c r="B293" s="6"/>
      <c r="D293" s="6"/>
      <c r="E293" s="6"/>
      <c r="F293" s="6"/>
      <c r="G293" s="8">
        <f>2500+27832</f>
        <v>30332</v>
      </c>
      <c r="I293" s="8">
        <f>2500+27832</f>
        <v>30332</v>
      </c>
    </row>
    <row r="294" spans="1:10" ht="12.75" customHeight="1">
      <c r="A294" s="5" t="s">
        <v>192</v>
      </c>
      <c r="B294" s="6"/>
      <c r="C294" s="6"/>
      <c r="D294" s="6"/>
      <c r="E294" s="6"/>
      <c r="F294" s="6"/>
      <c r="G294" s="8">
        <v>63070</v>
      </c>
      <c r="I294" s="8">
        <v>63070</v>
      </c>
    </row>
    <row r="295" spans="1:10" ht="12.75" customHeight="1">
      <c r="A295" s="5" t="s">
        <v>193</v>
      </c>
      <c r="B295" s="6"/>
      <c r="C295" s="6"/>
      <c r="D295" s="6"/>
      <c r="E295" s="6"/>
      <c r="F295" s="6"/>
      <c r="G295" s="8">
        <v>335958</v>
      </c>
      <c r="I295" s="8">
        <v>335958</v>
      </c>
    </row>
    <row r="296" spans="1:10" ht="12.75" customHeight="1">
      <c r="A296" s="5" t="s">
        <v>194</v>
      </c>
      <c r="B296" s="6"/>
      <c r="C296" s="6"/>
      <c r="D296" s="6"/>
      <c r="E296" s="6"/>
      <c r="F296" s="6"/>
      <c r="G296" s="8">
        <v>204564</v>
      </c>
      <c r="I296" s="8">
        <v>204564</v>
      </c>
    </row>
    <row r="297" spans="1:10" ht="12.75" customHeight="1">
      <c r="A297" s="5" t="s">
        <v>195</v>
      </c>
      <c r="B297" s="6"/>
      <c r="C297" s="6"/>
      <c r="D297" s="6"/>
      <c r="E297" s="6"/>
      <c r="F297" s="6"/>
      <c r="G297" s="8">
        <v>116855</v>
      </c>
      <c r="I297" s="8">
        <v>116855</v>
      </c>
    </row>
    <row r="298" spans="1:10" ht="12.75" customHeight="1">
      <c r="A298" s="5" t="s">
        <v>196</v>
      </c>
      <c r="B298" s="6"/>
      <c r="C298" s="6"/>
      <c r="D298" s="6"/>
      <c r="E298" s="6"/>
      <c r="F298" s="6"/>
      <c r="G298" s="8">
        <v>27538</v>
      </c>
      <c r="I298" s="8">
        <v>27538</v>
      </c>
    </row>
    <row r="299" spans="1:10" ht="12.75" customHeight="1">
      <c r="A299" s="5" t="s">
        <v>197</v>
      </c>
      <c r="B299" s="6"/>
      <c r="C299" s="6"/>
      <c r="D299" s="6"/>
      <c r="E299" s="6"/>
      <c r="F299" s="6"/>
      <c r="G299" s="8">
        <v>18716</v>
      </c>
      <c r="I299" s="8">
        <v>18716</v>
      </c>
    </row>
    <row r="300" spans="1:10" ht="13.5" customHeight="1">
      <c r="A300" s="5" t="s">
        <v>198</v>
      </c>
      <c r="G300" s="8">
        <f>1537091+158570+215888</f>
        <v>1911549</v>
      </c>
      <c r="I300" s="8">
        <f>659667+158570-399</f>
        <v>817838</v>
      </c>
      <c r="J300" s="18"/>
    </row>
    <row r="301" spans="1:10" ht="13.5" customHeight="1" thickBot="1">
      <c r="A301" s="4" t="s">
        <v>123</v>
      </c>
      <c r="G301" s="9">
        <f>SUM(G293:G300)</f>
        <v>2708582</v>
      </c>
      <c r="I301" s="9">
        <f>SUM(I293:I300)</f>
        <v>1614871</v>
      </c>
    </row>
    <row r="302" spans="1:10" ht="12.75" customHeight="1" thickTop="1">
      <c r="A302" s="4"/>
      <c r="G302" s="17"/>
      <c r="I302" s="17"/>
    </row>
    <row r="303" spans="1:10" ht="12.75" customHeight="1">
      <c r="G303" s="17"/>
      <c r="I303" s="17"/>
    </row>
    <row r="304" spans="1:10" ht="12.75" customHeight="1">
      <c r="A304" s="4" t="s">
        <v>199</v>
      </c>
      <c r="G304" s="17">
        <f>+G289+G285+G277+G267+G205+G198+G179+G166+G301+G146</f>
        <v>142826279</v>
      </c>
      <c r="I304" s="17">
        <v>139032025</v>
      </c>
    </row>
    <row r="305" spans="1:10" ht="12.75" customHeight="1">
      <c r="A305" s="4"/>
      <c r="G305" s="17"/>
      <c r="I305" s="17"/>
    </row>
    <row r="306" spans="1:10" ht="12.75" customHeight="1">
      <c r="A306" s="4" t="s">
        <v>200</v>
      </c>
      <c r="G306" s="17">
        <f>108551214-G336-343461</f>
        <v>108096891</v>
      </c>
      <c r="I306" s="17">
        <v>108096891</v>
      </c>
    </row>
    <row r="307" spans="1:10" ht="12.75" customHeight="1">
      <c r="A307" s="4"/>
      <c r="G307" s="17"/>
      <c r="I307" s="17"/>
    </row>
    <row r="308" spans="1:10" ht="12.75" customHeight="1">
      <c r="A308" s="4" t="s">
        <v>201</v>
      </c>
      <c r="B308" s="4"/>
      <c r="G308" s="17">
        <f>+G304-G306</f>
        <v>34729388</v>
      </c>
      <c r="I308" s="17">
        <f>+I304-I306</f>
        <v>30935134</v>
      </c>
    </row>
    <row r="309" spans="1:10" ht="12.75" customHeight="1">
      <c r="A309" s="4"/>
      <c r="B309" s="4"/>
      <c r="G309" s="17"/>
      <c r="I309" s="17"/>
    </row>
    <row r="310" spans="1:10" ht="12.75" customHeight="1">
      <c r="A310" s="4"/>
      <c r="B310" s="4"/>
      <c r="G310" s="17"/>
      <c r="I310" s="17"/>
    </row>
    <row r="311" spans="1:10" ht="12.75" customHeight="1">
      <c r="J311" s="18"/>
    </row>
    <row r="312" spans="1:10" ht="15" customHeight="1"/>
    <row r="313" spans="1:10" ht="12.75" customHeight="1">
      <c r="A313" s="30" t="s">
        <v>202</v>
      </c>
      <c r="G313" s="17"/>
      <c r="I313" s="17"/>
    </row>
    <row r="314" spans="1:10" ht="12.75" customHeight="1">
      <c r="G314" s="17"/>
      <c r="I314" s="17"/>
    </row>
    <row r="315" spans="1:10" ht="12.75" customHeight="1">
      <c r="F315" s="11"/>
    </row>
    <row r="316" spans="1:10" ht="12.75" customHeight="1">
      <c r="A316" s="4" t="s">
        <v>203</v>
      </c>
      <c r="F316" s="11"/>
    </row>
    <row r="317" spans="1:10" ht="15" customHeight="1">
      <c r="F317" s="11"/>
      <c r="G317" s="8">
        <v>0</v>
      </c>
      <c r="I317" s="8">
        <v>0</v>
      </c>
    </row>
    <row r="318" spans="1:10" ht="15" customHeight="1">
      <c r="A318" s="20" t="s">
        <v>204</v>
      </c>
      <c r="F318" s="11"/>
      <c r="G318" s="8">
        <v>1559563</v>
      </c>
      <c r="I318" s="8">
        <v>1559563</v>
      </c>
    </row>
    <row r="319" spans="1:10" ht="15" customHeight="1">
      <c r="A319" s="20" t="s">
        <v>205</v>
      </c>
      <c r="G319" s="8">
        <v>0</v>
      </c>
      <c r="I319" s="8">
        <v>0</v>
      </c>
    </row>
    <row r="320" spans="1:10" ht="12.75" customHeight="1">
      <c r="A320" s="20" t="s">
        <v>176</v>
      </c>
      <c r="B320" s="5"/>
      <c r="C320" s="5"/>
      <c r="D320" s="5"/>
      <c r="E320" s="5"/>
      <c r="G320" s="6"/>
      <c r="I320" s="6"/>
    </row>
    <row r="321" spans="1:9" ht="13.5" customHeight="1" thickBot="1">
      <c r="A321" s="5"/>
      <c r="B321" s="4"/>
      <c r="C321" s="4"/>
      <c r="D321" s="4"/>
      <c r="E321" s="4"/>
      <c r="G321" s="22">
        <f>+G318</f>
        <v>1559563</v>
      </c>
      <c r="I321" s="22">
        <f>+I318</f>
        <v>1559563</v>
      </c>
    </row>
    <row r="322" spans="1:9" ht="12.75" customHeight="1" thickTop="1">
      <c r="A322" s="4" t="s">
        <v>206</v>
      </c>
      <c r="B322" s="4"/>
      <c r="C322" s="4"/>
      <c r="G322" s="28">
        <f>+G321</f>
        <v>1559563</v>
      </c>
      <c r="I322" s="28">
        <f>+I321</f>
        <v>1559563</v>
      </c>
    </row>
    <row r="323" spans="1:9" ht="12.75" customHeight="1">
      <c r="A323" s="4"/>
      <c r="B323" s="4"/>
      <c r="C323" s="4"/>
      <c r="G323" s="28"/>
      <c r="I323" s="28"/>
    </row>
    <row r="324" spans="1:9" ht="12.75" customHeight="1">
      <c r="A324" s="4" t="s">
        <v>207</v>
      </c>
      <c r="B324" s="4"/>
      <c r="C324" s="4"/>
      <c r="G324" s="28"/>
      <c r="I324" s="28"/>
    </row>
    <row r="325" spans="1:9" ht="12.75" customHeight="1">
      <c r="A325" s="4" t="s">
        <v>208</v>
      </c>
      <c r="B325" s="4"/>
      <c r="C325" s="4"/>
      <c r="G325" s="28"/>
      <c r="I325" s="28"/>
    </row>
    <row r="326" spans="1:9" ht="12.75" customHeight="1">
      <c r="A326" s="4"/>
      <c r="B326" s="4"/>
      <c r="C326" s="4"/>
      <c r="G326" s="28"/>
      <c r="I326" s="28"/>
    </row>
    <row r="327" spans="1:9" ht="12.75" customHeight="1">
      <c r="A327" s="4"/>
      <c r="B327" s="4"/>
      <c r="C327" s="4"/>
      <c r="G327" s="28"/>
      <c r="I327" s="28"/>
    </row>
    <row r="328" spans="1:9" ht="12.75" customHeight="1">
      <c r="A328" s="4" t="s">
        <v>209</v>
      </c>
      <c r="B328" s="4"/>
      <c r="G328" s="17"/>
      <c r="I328" s="17"/>
    </row>
    <row r="329" spans="1:9" ht="12.75" customHeight="1">
      <c r="A329" s="4"/>
      <c r="B329" s="4"/>
      <c r="G329" s="17"/>
      <c r="I329" s="17"/>
    </row>
    <row r="330" spans="1:9" ht="12.75" customHeight="1">
      <c r="A330" t="s">
        <v>210</v>
      </c>
      <c r="B330" s="4"/>
      <c r="G330" s="17"/>
      <c r="I330" s="17"/>
    </row>
    <row r="331" spans="1:9" ht="12.75" customHeight="1">
      <c r="A331" t="s">
        <v>211</v>
      </c>
      <c r="B331" s="4"/>
      <c r="G331" s="17"/>
      <c r="I331" s="17"/>
    </row>
    <row r="332" spans="1:9" ht="12.75" customHeight="1">
      <c r="A332" t="s">
        <v>212</v>
      </c>
      <c r="B332" s="4"/>
      <c r="G332" s="17"/>
      <c r="I332" s="17"/>
    </row>
    <row r="333" spans="1:9" ht="12.75" customHeight="1">
      <c r="G333" s="17"/>
      <c r="I333" s="17"/>
    </row>
    <row r="334" spans="1:9" ht="12.75" customHeight="1">
      <c r="G334" s="8"/>
      <c r="I334" s="8"/>
    </row>
    <row r="335" spans="1:9" ht="12.75" customHeight="1">
      <c r="A335" s="5" t="s">
        <v>213</v>
      </c>
      <c r="G335" s="8">
        <v>547344</v>
      </c>
      <c r="I335" s="8">
        <v>769068</v>
      </c>
    </row>
    <row r="336" spans="1:9" ht="12.75" customHeight="1">
      <c r="A336" s="5" t="s">
        <v>214</v>
      </c>
      <c r="G336" s="26">
        <f>110862</f>
        <v>110862</v>
      </c>
      <c r="I336" s="26">
        <v>110862</v>
      </c>
    </row>
    <row r="337" spans="1:12" ht="12.75" customHeight="1">
      <c r="A337" s="4" t="s">
        <v>215</v>
      </c>
      <c r="B337" s="4"/>
      <c r="G337" s="28">
        <f>SUM(G331:G335)-G336</f>
        <v>436482</v>
      </c>
      <c r="I337" s="28">
        <f>SUM(I331:I335)-I336</f>
        <v>658206</v>
      </c>
    </row>
    <row r="338" spans="1:12" ht="12.75" customHeight="1">
      <c r="B338" s="4"/>
      <c r="G338" s="17"/>
      <c r="I338" s="17"/>
    </row>
    <row r="339" spans="1:12" ht="12.75" customHeight="1">
      <c r="B339" s="4"/>
      <c r="G339" s="17"/>
      <c r="I339" s="17"/>
    </row>
    <row r="340" spans="1:12" ht="12.75" customHeight="1">
      <c r="A340" s="4"/>
      <c r="B340" s="4"/>
      <c r="C340" s="4"/>
      <c r="G340" s="28"/>
      <c r="I340" s="28"/>
    </row>
    <row r="341" spans="1:12" ht="12.75" customHeight="1">
      <c r="A341" s="4"/>
      <c r="B341" s="4"/>
      <c r="C341" s="4"/>
      <c r="G341" s="28"/>
      <c r="I341" s="28"/>
    </row>
    <row r="342" spans="1:12" ht="12.75" customHeight="1">
      <c r="A342" s="4"/>
      <c r="B342" s="4"/>
      <c r="C342" s="4"/>
      <c r="G342" s="28"/>
      <c r="I342" s="28"/>
    </row>
    <row r="343" spans="1:12" ht="12.75" customHeight="1">
      <c r="A343" s="4" t="s">
        <v>216</v>
      </c>
      <c r="G343" s="31">
        <f>+G304+G322</f>
        <v>144385842</v>
      </c>
      <c r="I343" s="31">
        <f>+I304+I322</f>
        <v>140591588</v>
      </c>
      <c r="J343" s="18"/>
      <c r="K343" s="18"/>
    </row>
    <row r="344" spans="1:12" ht="12.75" customHeight="1">
      <c r="A344" s="4"/>
      <c r="B344" s="4"/>
      <c r="C344" s="4"/>
      <c r="G344" s="28"/>
      <c r="J344" s="32"/>
    </row>
    <row r="345" spans="1:12" ht="12.75" customHeight="1">
      <c r="A345" s="4" t="s">
        <v>200</v>
      </c>
      <c r="B345" s="4"/>
      <c r="C345" s="4"/>
      <c r="G345" s="33">
        <f>111173023-G336-343461-124638-641732-1345615+1123146</f>
        <v>109729861</v>
      </c>
      <c r="I345" s="33">
        <f>108551214-I336-343461-124638</f>
        <v>107972253</v>
      </c>
      <c r="J345" s="32"/>
    </row>
    <row r="346" spans="1:12" ht="12.75" customHeight="1">
      <c r="A346" s="4"/>
      <c r="B346" s="4"/>
      <c r="C346" s="4"/>
      <c r="G346" s="17"/>
      <c r="I346" s="17"/>
    </row>
    <row r="347" spans="1:12" ht="12.75" customHeight="1">
      <c r="A347" s="4" t="s">
        <v>217</v>
      </c>
      <c r="B347" s="4"/>
      <c r="C347" s="4"/>
      <c r="G347" s="17">
        <f>+G343-G345</f>
        <v>34655981</v>
      </c>
      <c r="I347" s="17">
        <f>+I343-I345+I337</f>
        <v>33277541</v>
      </c>
      <c r="J347" s="18"/>
      <c r="L347" s="18"/>
    </row>
    <row r="348" spans="1:12" ht="12.75" customHeight="1">
      <c r="A348" s="4"/>
      <c r="B348" s="4"/>
      <c r="C348" s="4"/>
      <c r="G348" s="17"/>
      <c r="I348" s="17"/>
    </row>
    <row r="349" spans="1:12" ht="12.75" customHeight="1">
      <c r="A349" s="4"/>
    </row>
    <row r="350" spans="1:12" ht="13.5" customHeight="1">
      <c r="L350" s="34"/>
    </row>
    <row r="351" spans="1:12" ht="12.75" customHeight="1">
      <c r="A351" s="4"/>
    </row>
    <row r="352" spans="1:12" ht="13.5" customHeight="1" thickBot="1">
      <c r="A352" s="20" t="s">
        <v>218</v>
      </c>
      <c r="G352" s="22">
        <f>+G347+G80+G337</f>
        <v>162771834</v>
      </c>
      <c r="I352" s="22">
        <f>+I347+I80+I337</f>
        <v>141617189</v>
      </c>
      <c r="J352" s="18"/>
      <c r="L352" s="18"/>
    </row>
    <row r="353" spans="1:9" ht="12.75" customHeight="1" thickTop="1">
      <c r="A353" s="20"/>
      <c r="I353" s="16"/>
    </row>
    <row r="354" spans="1:9" ht="15" customHeight="1"/>
    <row r="355" spans="1:9" ht="15" customHeight="1">
      <c r="A355" s="30" t="s">
        <v>219</v>
      </c>
      <c r="G355" s="34"/>
    </row>
    <row r="356" spans="1:9" ht="15" customHeight="1">
      <c r="A356" s="30"/>
      <c r="H356" s="18">
        <f>34654106-G347</f>
        <v>-1875</v>
      </c>
    </row>
    <row r="357" spans="1:9" ht="15" customHeight="1">
      <c r="A357" s="20" t="s">
        <v>220</v>
      </c>
    </row>
    <row r="358" spans="1:9" ht="15" customHeight="1">
      <c r="A358" s="20"/>
    </row>
    <row r="359" spans="1:9" ht="15" customHeight="1">
      <c r="A359" t="s">
        <v>221</v>
      </c>
    </row>
    <row r="360" spans="1:9" ht="15" customHeight="1"/>
    <row r="361" spans="1:9" ht="15" customHeight="1">
      <c r="A361" s="35"/>
      <c r="G361" s="17"/>
      <c r="I361" s="17"/>
    </row>
    <row r="362" spans="1:9" ht="15" customHeight="1">
      <c r="A362" s="4" t="s">
        <v>222</v>
      </c>
      <c r="G362" s="17">
        <v>6842067</v>
      </c>
      <c r="I362" s="17">
        <v>1249622</v>
      </c>
    </row>
    <row r="363" spans="1:9" ht="12.75" customHeight="1">
      <c r="A363" s="5"/>
      <c r="I363" s="17"/>
    </row>
    <row r="364" spans="1:9" ht="15" customHeight="1">
      <c r="A364" s="5"/>
    </row>
    <row r="365" spans="1:9" ht="15" customHeight="1">
      <c r="A365" s="20" t="s">
        <v>223</v>
      </c>
    </row>
    <row r="366" spans="1:9" ht="15" customHeight="1">
      <c r="A366" s="5" t="s">
        <v>224</v>
      </c>
    </row>
    <row r="367" spans="1:9" ht="15" customHeight="1">
      <c r="A367" s="5"/>
    </row>
    <row r="368" spans="1:9" ht="12.75" customHeight="1">
      <c r="A368" s="20"/>
      <c r="B368" s="6"/>
      <c r="C368" s="6"/>
      <c r="D368" s="6"/>
      <c r="E368" s="6"/>
      <c r="F368" s="6"/>
      <c r="G368" s="11"/>
      <c r="I368" s="11"/>
    </row>
    <row r="369" spans="1:9" ht="12.75" customHeight="1">
      <c r="A369" s="5" t="s">
        <v>225</v>
      </c>
      <c r="B369" s="6"/>
      <c r="C369" s="6"/>
      <c r="D369" s="6"/>
      <c r="E369" s="6"/>
      <c r="F369" s="6"/>
      <c r="G369" s="11">
        <v>2020233</v>
      </c>
      <c r="I369" s="11">
        <v>2020233</v>
      </c>
    </row>
    <row r="370" spans="1:9" ht="12.75" customHeight="1">
      <c r="A370" s="5" t="s">
        <v>226</v>
      </c>
      <c r="B370" s="6"/>
      <c r="C370" s="6"/>
      <c r="D370" s="6"/>
      <c r="E370" s="6"/>
      <c r="F370" s="6"/>
      <c r="G370" s="11">
        <v>49442</v>
      </c>
      <c r="I370" s="11">
        <v>49442</v>
      </c>
    </row>
    <row r="371" spans="1:9" ht="12.75" customHeight="1">
      <c r="A371" s="5" t="s">
        <v>227</v>
      </c>
      <c r="B371" s="6"/>
      <c r="C371" s="6"/>
      <c r="D371" s="6"/>
      <c r="E371" s="6"/>
      <c r="F371" s="6"/>
      <c r="G371" s="11">
        <v>13734</v>
      </c>
      <c r="I371" s="11">
        <v>13734</v>
      </c>
    </row>
    <row r="372" spans="1:9" ht="12.75" customHeight="1">
      <c r="A372" s="5" t="s">
        <v>228</v>
      </c>
      <c r="B372" s="6"/>
      <c r="C372" s="6"/>
      <c r="D372" s="6"/>
      <c r="E372" s="6"/>
      <c r="F372" s="6"/>
      <c r="G372" s="15">
        <v>325441</v>
      </c>
      <c r="I372" s="15">
        <v>325441</v>
      </c>
    </row>
    <row r="373" spans="1:9" ht="15.75" customHeight="1" thickBot="1">
      <c r="A373" s="4" t="s">
        <v>229</v>
      </c>
      <c r="C373" s="4"/>
      <c r="E373" s="4"/>
      <c r="G373" s="36">
        <f>SUM(G369:G372)</f>
        <v>2408850</v>
      </c>
      <c r="H373" s="32"/>
      <c r="I373" s="36">
        <f>SUM(I369:I372)</f>
        <v>2408850</v>
      </c>
    </row>
    <row r="374" spans="1:9" ht="15.75" customHeight="1" thickTop="1">
      <c r="A374" s="20"/>
      <c r="B374" s="4"/>
      <c r="C374" s="4"/>
      <c r="E374" s="4"/>
      <c r="G374" s="37"/>
      <c r="H374" s="20"/>
      <c r="I374" s="37"/>
    </row>
    <row r="375" spans="1:9" ht="15" customHeight="1">
      <c r="A375" s="5"/>
    </row>
    <row r="376" spans="1:9" ht="12.75" customHeight="1">
      <c r="A376" s="20" t="s">
        <v>230</v>
      </c>
      <c r="B376" s="6"/>
      <c r="C376" s="6"/>
      <c r="D376" s="6"/>
      <c r="E376" s="6"/>
      <c r="F376" s="6"/>
      <c r="G376" s="11"/>
      <c r="I376" s="11"/>
    </row>
    <row r="377" spans="1:9" ht="12.75" customHeight="1">
      <c r="A377" s="5" t="s">
        <v>231</v>
      </c>
      <c r="B377" s="6"/>
      <c r="C377" s="6"/>
      <c r="D377" s="6"/>
      <c r="E377" s="6"/>
      <c r="F377" s="6"/>
      <c r="G377" s="11">
        <v>135182</v>
      </c>
      <c r="I377" s="11">
        <v>135182</v>
      </c>
    </row>
    <row r="378" spans="1:9" ht="12.75" customHeight="1">
      <c r="A378" s="5" t="s">
        <v>232</v>
      </c>
      <c r="B378" s="4"/>
      <c r="C378" s="4"/>
      <c r="E378" s="4"/>
      <c r="G378" s="38">
        <v>2420162</v>
      </c>
      <c r="I378" s="38">
        <f>5121932</f>
        <v>5121932</v>
      </c>
    </row>
    <row r="379" spans="1:9" ht="15" customHeight="1">
      <c r="A379" s="5" t="s">
        <v>233</v>
      </c>
      <c r="G379" s="15">
        <v>313016</v>
      </c>
      <c r="I379" s="15">
        <v>313600</v>
      </c>
    </row>
    <row r="380" spans="1:9" ht="15" customHeight="1">
      <c r="A380" s="20" t="s">
        <v>234</v>
      </c>
      <c r="G380" s="17">
        <f>SUM(G376:G379)</f>
        <v>2868360</v>
      </c>
      <c r="I380" s="17">
        <f>SUM(I376:I379)</f>
        <v>5570714</v>
      </c>
    </row>
    <row r="381" spans="1:9" ht="12.75" customHeight="1">
      <c r="A381" s="20"/>
    </row>
    <row r="382" spans="1:9" ht="15" customHeight="1"/>
    <row r="383" spans="1:9" ht="15" customHeight="1">
      <c r="A383" s="20" t="s">
        <v>235</v>
      </c>
    </row>
    <row r="384" spans="1:9" ht="15" customHeight="1">
      <c r="A384" s="20"/>
    </row>
    <row r="385" spans="1:10" ht="15" customHeight="1">
      <c r="A385" t="s">
        <v>236</v>
      </c>
    </row>
    <row r="386" spans="1:10" ht="15" customHeight="1"/>
    <row r="387" spans="1:10" ht="12.75" customHeight="1">
      <c r="A387" s="20"/>
      <c r="B387" s="6"/>
      <c r="C387" s="6"/>
      <c r="D387" s="6"/>
      <c r="E387" s="6"/>
      <c r="F387" s="6"/>
      <c r="G387" s="11"/>
      <c r="I387" s="11"/>
    </row>
    <row r="388" spans="1:10" ht="15.75" customHeight="1">
      <c r="A388" s="5" t="s">
        <v>237</v>
      </c>
      <c r="G388" s="11">
        <v>407557</v>
      </c>
      <c r="I388" s="11">
        <v>407557</v>
      </c>
    </row>
    <row r="389" spans="1:10" ht="15" customHeight="1" thickBot="1">
      <c r="A389" s="20" t="s">
        <v>238</v>
      </c>
      <c r="G389" s="22">
        <f>SUM(G388:G388)</f>
        <v>407557</v>
      </c>
      <c r="I389" s="22">
        <f>SUM(I388:I388)</f>
        <v>407557</v>
      </c>
    </row>
    <row r="390" spans="1:10" ht="15.75" customHeight="1" thickTop="1">
      <c r="B390" s="4"/>
      <c r="C390" s="4"/>
      <c r="D390" s="4"/>
      <c r="E390" s="4"/>
      <c r="J390" s="18"/>
    </row>
    <row r="391" spans="1:10" ht="15.75" customHeight="1">
      <c r="A391" s="20" t="s">
        <v>239</v>
      </c>
      <c r="B391" s="4"/>
      <c r="C391" s="4"/>
      <c r="D391" s="4"/>
      <c r="E391" s="4"/>
      <c r="G391" s="39">
        <f>+G389+G380+G373+G362</f>
        <v>12526834</v>
      </c>
      <c r="I391" s="39">
        <f>+I389+I380+I373+I362</f>
        <v>9636743</v>
      </c>
    </row>
    <row r="392" spans="1:10" ht="12.75" customHeight="1">
      <c r="A392" s="20"/>
    </row>
    <row r="395" spans="1:10" ht="12.75" customHeight="1">
      <c r="A395" s="4" t="s">
        <v>240</v>
      </c>
    </row>
    <row r="396" spans="1:10" ht="12.75" customHeight="1">
      <c r="A396" s="4"/>
    </row>
    <row r="397" spans="1:10" ht="12.75" customHeight="1">
      <c r="A397" t="s">
        <v>241</v>
      </c>
    </row>
    <row r="399" spans="1:10" ht="12.75" customHeight="1">
      <c r="A399" s="4"/>
      <c r="B399" s="6"/>
      <c r="C399" s="6"/>
      <c r="D399" s="6"/>
      <c r="E399" s="6"/>
      <c r="F399" s="6"/>
      <c r="G399" s="11"/>
      <c r="I399" s="11"/>
    </row>
    <row r="400" spans="1:10" ht="12.75" customHeight="1">
      <c r="A400" s="5" t="s">
        <v>242</v>
      </c>
      <c r="B400" s="6"/>
      <c r="C400" s="6"/>
      <c r="D400" s="6"/>
      <c r="E400" s="6"/>
      <c r="F400" s="6"/>
      <c r="G400" s="11">
        <v>53822869</v>
      </c>
      <c r="I400" s="11">
        <v>53822869</v>
      </c>
    </row>
    <row r="401" spans="1:10" ht="12.75" customHeight="1">
      <c r="A401" s="5" t="s">
        <v>243</v>
      </c>
      <c r="B401" s="6"/>
      <c r="C401" s="6"/>
      <c r="D401" s="6"/>
      <c r="E401" s="6"/>
      <c r="F401" s="6"/>
      <c r="G401" s="11">
        <f>72817595+1439569</f>
        <v>74257164</v>
      </c>
      <c r="I401" s="11">
        <v>46051513</v>
      </c>
    </row>
    <row r="402" spans="1:10" ht="13.5" customHeight="1">
      <c r="A402" s="5" t="s">
        <v>244</v>
      </c>
      <c r="B402" s="6"/>
      <c r="C402" s="6"/>
      <c r="D402" s="6"/>
      <c r="E402" s="6"/>
      <c r="F402" s="6"/>
      <c r="G402" s="11">
        <f>[1]Estsdo_Rendimiento_Financiero!$D$32</f>
        <v>22164967</v>
      </c>
      <c r="I402" s="11">
        <v>8364930</v>
      </c>
    </row>
    <row r="403" spans="1:10" ht="13.5" customHeight="1" thickBot="1">
      <c r="A403" s="14" t="s">
        <v>245</v>
      </c>
      <c r="B403" s="6"/>
      <c r="C403" s="6"/>
      <c r="D403" s="6"/>
      <c r="E403" s="6"/>
      <c r="F403" s="6"/>
      <c r="G403" s="12">
        <f>SUM(G400:G402)</f>
        <v>150245000</v>
      </c>
      <c r="I403" s="12">
        <f>SUM(I400:I402)</f>
        <v>108239312</v>
      </c>
    </row>
    <row r="404" spans="1:10" ht="13.5" customHeight="1" thickTop="1">
      <c r="A404" s="14"/>
      <c r="B404" s="6"/>
      <c r="C404" s="6"/>
      <c r="D404" s="6"/>
      <c r="E404" s="6"/>
      <c r="F404" s="6"/>
    </row>
    <row r="405" spans="1:10" ht="13.5" customHeight="1">
      <c r="A405" s="4"/>
      <c r="B405" s="6"/>
      <c r="C405" s="6"/>
      <c r="D405" s="6"/>
      <c r="E405" s="6"/>
      <c r="F405" s="6"/>
    </row>
    <row r="406" spans="1:10" ht="15" customHeight="1">
      <c r="F406" s="28"/>
      <c r="G406" s="40"/>
    </row>
    <row r="407" spans="1:10" ht="15" customHeight="1">
      <c r="A407" s="41" t="s">
        <v>246</v>
      </c>
      <c r="F407" s="28"/>
      <c r="G407" s="40"/>
    </row>
    <row r="408" spans="1:10" ht="15" customHeight="1">
      <c r="A408" s="20"/>
      <c r="F408" s="28"/>
      <c r="G408" s="40"/>
    </row>
    <row r="409" spans="1:10" ht="15" customHeight="1">
      <c r="A409" s="20" t="s">
        <v>247</v>
      </c>
      <c r="F409" s="28"/>
      <c r="G409" s="40"/>
    </row>
    <row r="410" spans="1:10" ht="15" customHeight="1">
      <c r="A410" s="20"/>
      <c r="F410" s="28"/>
      <c r="G410" s="40"/>
    </row>
    <row r="411" spans="1:10" ht="15" customHeight="1">
      <c r="A411" t="s">
        <v>248</v>
      </c>
      <c r="F411" s="28"/>
      <c r="G411" s="40"/>
    </row>
    <row r="412" spans="1:10" ht="15" customHeight="1">
      <c r="A412" t="s">
        <v>249</v>
      </c>
      <c r="F412" s="28"/>
      <c r="G412" s="40"/>
    </row>
    <row r="413" spans="1:10" ht="15" customHeight="1">
      <c r="F413" s="28"/>
      <c r="G413" s="40"/>
    </row>
    <row r="414" spans="1:10" ht="15" customHeight="1">
      <c r="F414" s="28"/>
      <c r="G414" s="40"/>
      <c r="I414" s="40"/>
      <c r="J414" s="18"/>
    </row>
    <row r="415" spans="1:10" ht="15" customHeight="1">
      <c r="A415" s="20" t="s">
        <v>250</v>
      </c>
      <c r="F415" s="28"/>
      <c r="G415" s="42">
        <v>162507048</v>
      </c>
      <c r="I415" s="42">
        <f>166012125-8450000</f>
        <v>157562125</v>
      </c>
    </row>
    <row r="416" spans="1:10" ht="15" customHeight="1">
      <c r="A416" s="20"/>
      <c r="F416" s="28"/>
      <c r="G416" s="40"/>
      <c r="I416" s="39"/>
    </row>
    <row r="417" spans="1:9" ht="14.25" customHeight="1">
      <c r="A417" s="20"/>
      <c r="F417" s="28"/>
      <c r="G417" s="40"/>
      <c r="I417" s="40"/>
    </row>
    <row r="418" spans="1:9" ht="15" customHeight="1">
      <c r="F418" s="28"/>
      <c r="G418" s="40"/>
      <c r="I418" s="18"/>
    </row>
    <row r="419" spans="1:9" ht="15" customHeight="1">
      <c r="A419" s="30"/>
      <c r="F419" s="28"/>
      <c r="G419" s="40"/>
      <c r="I419" s="18"/>
    </row>
    <row r="420" spans="1:9" ht="15" customHeight="1">
      <c r="A420" s="30"/>
      <c r="F420" s="28"/>
      <c r="G420" s="40"/>
      <c r="I420" s="18"/>
    </row>
    <row r="421" spans="1:9" ht="15" customHeight="1">
      <c r="A421" s="30" t="s">
        <v>251</v>
      </c>
      <c r="F421" s="28"/>
      <c r="G421" s="40"/>
      <c r="I421" s="18"/>
    </row>
    <row r="422" spans="1:9" ht="15" customHeight="1">
      <c r="A422" s="30"/>
      <c r="F422" s="28"/>
      <c r="G422" s="40"/>
      <c r="I422" s="18"/>
    </row>
    <row r="423" spans="1:9" ht="15" customHeight="1">
      <c r="A423" s="4" t="s">
        <v>252</v>
      </c>
      <c r="F423" s="28"/>
      <c r="G423" s="40"/>
      <c r="I423" s="18"/>
    </row>
    <row r="424" spans="1:9" ht="15" customHeight="1">
      <c r="A424" t="s">
        <v>253</v>
      </c>
      <c r="F424" s="28"/>
      <c r="G424" s="40"/>
      <c r="I424" s="18"/>
    </row>
    <row r="425" spans="1:9" ht="15" customHeight="1">
      <c r="A425" t="s">
        <v>254</v>
      </c>
      <c r="F425" s="28"/>
      <c r="G425" s="40"/>
      <c r="I425" s="18"/>
    </row>
    <row r="426" spans="1:9" ht="15" customHeight="1">
      <c r="A426" s="30"/>
      <c r="F426" s="28"/>
      <c r="G426" s="40"/>
      <c r="I426" s="18"/>
    </row>
    <row r="427" spans="1:9" ht="12.75" customHeight="1">
      <c r="A427" s="30"/>
      <c r="F427" s="28"/>
      <c r="G427" s="40"/>
      <c r="I427" s="40"/>
    </row>
    <row r="428" spans="1:9" ht="12.75" customHeight="1">
      <c r="A428" s="5" t="s">
        <v>255</v>
      </c>
      <c r="F428" s="28"/>
      <c r="G428" s="40">
        <v>241679</v>
      </c>
      <c r="I428" s="40">
        <v>11762</v>
      </c>
    </row>
    <row r="429" spans="1:9" ht="12.75" customHeight="1">
      <c r="A429" s="5" t="s">
        <v>256</v>
      </c>
      <c r="F429" s="28"/>
      <c r="G429" s="40">
        <v>906559</v>
      </c>
      <c r="I429" s="40">
        <v>772220</v>
      </c>
    </row>
    <row r="430" spans="1:9" ht="12.75" customHeight="1">
      <c r="A430" s="5" t="s">
        <v>257</v>
      </c>
      <c r="F430" s="28"/>
      <c r="G430" s="40">
        <v>662907</v>
      </c>
      <c r="I430" s="40">
        <v>1820565</v>
      </c>
    </row>
    <row r="431" spans="1:9" ht="12.75" customHeight="1">
      <c r="A431" s="5"/>
      <c r="F431" s="28"/>
      <c r="G431" s="31"/>
      <c r="I431" s="31"/>
    </row>
    <row r="432" spans="1:9" ht="12.75" customHeight="1">
      <c r="A432" s="20" t="s">
        <v>252</v>
      </c>
      <c r="F432" s="28"/>
      <c r="G432" s="31">
        <f>SUM(G428:G431)</f>
        <v>1811145</v>
      </c>
      <c r="I432" s="31">
        <f>SUM(I428:I431)</f>
        <v>2604547</v>
      </c>
    </row>
    <row r="433" spans="1:9" ht="12.75" customHeight="1">
      <c r="A433" s="5"/>
      <c r="F433" s="28"/>
      <c r="G433" s="43"/>
      <c r="I433" s="43"/>
    </row>
    <row r="434" spans="1:9" ht="15" customHeight="1">
      <c r="A434" s="4" t="s">
        <v>258</v>
      </c>
      <c r="F434" s="28"/>
      <c r="G434" s="44">
        <v>523565</v>
      </c>
      <c r="I434" s="44">
        <v>524404</v>
      </c>
    </row>
    <row r="435" spans="1:9" ht="15" customHeight="1">
      <c r="A435" s="4"/>
      <c r="F435" s="28"/>
      <c r="G435" s="45"/>
      <c r="I435" s="45"/>
    </row>
    <row r="436" spans="1:9" ht="15" customHeight="1">
      <c r="A436" s="20" t="s">
        <v>259</v>
      </c>
      <c r="F436" s="28"/>
      <c r="G436" s="46">
        <f>+G434</f>
        <v>523565</v>
      </c>
      <c r="I436" s="46">
        <f>+I434</f>
        <v>524404</v>
      </c>
    </row>
    <row r="437" spans="1:9" ht="15.75" customHeight="1">
      <c r="F437" s="28"/>
    </row>
    <row r="438" spans="1:9" ht="15" customHeight="1" thickBot="1">
      <c r="A438" s="20"/>
      <c r="G438" s="47">
        <f>+G434+G432+G415</f>
        <v>164841758</v>
      </c>
      <c r="I438" s="47">
        <f>+I434+I432+I415</f>
        <v>160691076</v>
      </c>
    </row>
    <row r="439" spans="1:9" ht="15" customHeight="1" thickTop="1">
      <c r="A439" s="20" t="s">
        <v>260</v>
      </c>
      <c r="G439" s="7"/>
    </row>
    <row r="440" spans="1:9" ht="15" customHeight="1">
      <c r="G440" s="7"/>
    </row>
    <row r="441" spans="1:9" ht="15" customHeight="1">
      <c r="G441" s="7"/>
    </row>
    <row r="442" spans="1:9" ht="12.75" customHeight="1">
      <c r="G442" s="7">
        <v>2023</v>
      </c>
      <c r="I442" s="7">
        <v>2022</v>
      </c>
    </row>
    <row r="443" spans="1:9" ht="12.75" customHeight="1">
      <c r="G443" s="7"/>
      <c r="I443" s="7"/>
    </row>
    <row r="444" spans="1:9" ht="12.75" customHeight="1">
      <c r="A444" s="4" t="s">
        <v>261</v>
      </c>
      <c r="G444" s="7"/>
      <c r="I444" s="7"/>
    </row>
    <row r="445" spans="1:9" ht="12.75" customHeight="1">
      <c r="A445" s="4"/>
      <c r="G445" s="7"/>
      <c r="I445" s="7"/>
    </row>
    <row r="446" spans="1:9" ht="12.75" customHeight="1">
      <c r="A446" s="4"/>
      <c r="G446" s="7"/>
      <c r="I446" s="7"/>
    </row>
    <row r="447" spans="1:9" ht="12.75" customHeight="1">
      <c r="A447" t="s">
        <v>262</v>
      </c>
      <c r="G447" s="7"/>
      <c r="I447" s="7"/>
    </row>
    <row r="448" spans="1:9" ht="14.25" customHeight="1">
      <c r="A448" t="s">
        <v>263</v>
      </c>
      <c r="I448" s="7"/>
    </row>
    <row r="449" spans="1:9" ht="12.75" customHeight="1">
      <c r="A449" s="4"/>
      <c r="B449" s="6"/>
      <c r="C449" s="6"/>
      <c r="D449" s="6"/>
      <c r="E449" s="6"/>
      <c r="F449" s="6"/>
    </row>
    <row r="450" spans="1:9" ht="12.75" customHeight="1">
      <c r="A450" s="5" t="s">
        <v>264</v>
      </c>
      <c r="B450" s="6"/>
      <c r="C450" s="6"/>
      <c r="D450" s="6"/>
      <c r="E450" s="6"/>
      <c r="F450" s="6"/>
      <c r="G450" s="11">
        <v>31464555</v>
      </c>
      <c r="I450" s="11">
        <v>27302000</v>
      </c>
    </row>
    <row r="451" spans="1:9" ht="12.75" customHeight="1">
      <c r="A451" s="5" t="s">
        <v>265</v>
      </c>
      <c r="B451" s="6"/>
      <c r="C451" s="6"/>
      <c r="D451" s="6"/>
      <c r="E451" s="6"/>
      <c r="F451" s="6"/>
      <c r="G451" s="11">
        <f>28819118+3090450+4085190+4528206-1103804</f>
        <v>39419160</v>
      </c>
      <c r="I451" s="11">
        <f>28809602+3330450+4190190+5134900</f>
        <v>41465142</v>
      </c>
    </row>
    <row r="452" spans="1:9" ht="12.75" customHeight="1">
      <c r="A452" s="5" t="s">
        <v>266</v>
      </c>
      <c r="B452" s="6"/>
      <c r="C452" s="6"/>
      <c r="D452" s="6"/>
      <c r="E452" s="6"/>
      <c r="F452" s="6"/>
      <c r="G452" s="11">
        <v>1476044</v>
      </c>
      <c r="I452" s="11">
        <v>1593329</v>
      </c>
    </row>
    <row r="453" spans="1:9" ht="12.75" customHeight="1">
      <c r="A453" s="5" t="s">
        <v>267</v>
      </c>
      <c r="B453" s="6"/>
      <c r="C453" s="6"/>
      <c r="D453" s="6"/>
      <c r="E453" s="6"/>
      <c r="F453" s="6"/>
      <c r="G453" s="11">
        <f>1241523+416044+912661-216000-418000</f>
        <v>1936228</v>
      </c>
      <c r="I453" s="11">
        <f>1532960+1982241-216000</f>
        <v>3299201</v>
      </c>
    </row>
    <row r="454" spans="1:9" ht="12.75" customHeight="1">
      <c r="A454" s="5" t="s">
        <v>268</v>
      </c>
      <c r="B454" s="6"/>
      <c r="C454" s="6"/>
      <c r="D454" s="6"/>
      <c r="E454" s="6"/>
      <c r="F454" s="6"/>
      <c r="G454" s="11">
        <v>126000</v>
      </c>
      <c r="I454" s="11">
        <v>126000</v>
      </c>
    </row>
    <row r="455" spans="1:9" ht="12.75" customHeight="1">
      <c r="A455" s="5" t="s">
        <v>269</v>
      </c>
      <c r="B455" s="6"/>
      <c r="C455" s="6"/>
      <c r="D455" s="6"/>
      <c r="E455" s="6"/>
      <c r="F455" s="6"/>
      <c r="G455" s="11">
        <f>410000+60000</f>
        <v>470000</v>
      </c>
      <c r="I455" s="11">
        <v>72000</v>
      </c>
    </row>
    <row r="456" spans="1:9" ht="12.75" customHeight="1">
      <c r="A456" s="5" t="s">
        <v>270</v>
      </c>
      <c r="B456" s="6"/>
      <c r="C456" s="6"/>
      <c r="D456" s="6"/>
      <c r="E456" s="6"/>
      <c r="F456" s="8"/>
      <c r="G456" s="11">
        <v>1481600</v>
      </c>
      <c r="I456" s="11">
        <v>12611434</v>
      </c>
    </row>
    <row r="457" spans="1:9" ht="12.75" customHeight="1">
      <c r="A457" s="5" t="s">
        <v>271</v>
      </c>
      <c r="B457" s="6"/>
      <c r="C457" s="6"/>
      <c r="D457" s="6"/>
      <c r="E457" s="6"/>
      <c r="F457" s="8"/>
      <c r="G457" s="11">
        <f>1006440+15545292+360000+300000+410000+60000+120000+118470+360000</f>
        <v>18280202</v>
      </c>
      <c r="I457" s="11">
        <f>1036440+17274571+480000+300000+660000+60000+120000+118470+360000</f>
        <v>20409481</v>
      </c>
    </row>
    <row r="458" spans="1:9" ht="12.75" customHeight="1">
      <c r="A458" s="5" t="s">
        <v>272</v>
      </c>
      <c r="B458" s="6"/>
      <c r="C458" s="6"/>
      <c r="D458" s="6"/>
      <c r="E458" s="6"/>
      <c r="F458" s="8"/>
      <c r="G458" s="8">
        <v>32091</v>
      </c>
      <c r="I458" s="8">
        <v>18354</v>
      </c>
    </row>
    <row r="459" spans="1:9" ht="12.75" customHeight="1">
      <c r="A459" s="5" t="s">
        <v>273</v>
      </c>
      <c r="B459" s="6"/>
      <c r="C459" s="6"/>
      <c r="D459" s="6"/>
      <c r="E459" s="6"/>
      <c r="F459" s="8"/>
      <c r="G459" s="11">
        <v>2321012</v>
      </c>
      <c r="I459" s="11">
        <v>2578012</v>
      </c>
    </row>
    <row r="460" spans="1:9" ht="12.75" customHeight="1">
      <c r="A460" s="5" t="s">
        <v>274</v>
      </c>
      <c r="B460" s="6"/>
      <c r="C460" s="6"/>
      <c r="D460" s="6"/>
      <c r="E460" s="6"/>
      <c r="F460" s="8"/>
      <c r="G460" s="11">
        <f>2588000+418000</f>
        <v>3006000</v>
      </c>
      <c r="I460" s="11">
        <f>2970000+216000</f>
        <v>3186000</v>
      </c>
    </row>
    <row r="461" spans="1:9" ht="12.75" customHeight="1">
      <c r="A461" s="48" t="s">
        <v>275</v>
      </c>
      <c r="B461" s="6"/>
      <c r="C461" s="6"/>
      <c r="D461" s="6"/>
      <c r="E461" s="6"/>
      <c r="F461" s="8"/>
      <c r="G461" s="11">
        <f>4024703+2635984</f>
        <v>6660687</v>
      </c>
      <c r="I461" s="11">
        <f>3959956+2691877</f>
        <v>6651833</v>
      </c>
    </row>
    <row r="462" spans="1:9" ht="12.75" customHeight="1">
      <c r="A462" s="48" t="s">
        <v>276</v>
      </c>
      <c r="B462" s="6"/>
      <c r="C462" s="6"/>
      <c r="D462" s="6"/>
      <c r="E462" s="6"/>
      <c r="F462" s="8"/>
      <c r="G462" s="11">
        <f>2654370+4045048</f>
        <v>6699418</v>
      </c>
      <c r="I462" s="11">
        <f>2713725+3983503</f>
        <v>6697228</v>
      </c>
    </row>
    <row r="463" spans="1:9" ht="12.75" customHeight="1">
      <c r="A463" s="48" t="s">
        <v>277</v>
      </c>
      <c r="B463" s="6"/>
      <c r="C463" s="6"/>
      <c r="D463" s="6"/>
      <c r="E463" s="6"/>
      <c r="F463" s="8"/>
      <c r="G463" s="11">
        <f>621060+410717</f>
        <v>1031777</v>
      </c>
      <c r="I463" s="11">
        <f>606523+417950</f>
        <v>1024473</v>
      </c>
    </row>
    <row r="464" spans="1:9" ht="12.75" customHeight="1">
      <c r="A464" s="5" t="s">
        <v>278</v>
      </c>
      <c r="B464" s="6"/>
      <c r="C464" s="6"/>
      <c r="D464" s="6"/>
      <c r="E464" s="6"/>
      <c r="F464" s="8"/>
      <c r="G464" s="11">
        <v>1076724</v>
      </c>
      <c r="I464" s="11">
        <v>4773329</v>
      </c>
    </row>
    <row r="465" spans="1:10" ht="12.75" customHeight="1">
      <c r="A465" s="5" t="s">
        <v>279</v>
      </c>
      <c r="B465" s="6"/>
      <c r="C465" s="6"/>
      <c r="D465" s="6"/>
      <c r="E465" s="6"/>
      <c r="F465" s="8"/>
      <c r="G465" s="11">
        <v>60000</v>
      </c>
      <c r="I465" s="11">
        <v>60000</v>
      </c>
    </row>
    <row r="466" spans="1:10" ht="13.5" customHeight="1">
      <c r="A466" s="48" t="s">
        <v>280</v>
      </c>
      <c r="B466" s="6"/>
      <c r="C466" s="6"/>
      <c r="D466" s="6"/>
      <c r="E466" s="6"/>
      <c r="F466" s="6"/>
      <c r="G466" s="15">
        <v>0</v>
      </c>
      <c r="I466" s="15">
        <v>50000</v>
      </c>
    </row>
    <row r="467" spans="1:10" ht="13.5" customHeight="1" thickBot="1">
      <c r="A467" s="14" t="s">
        <v>281</v>
      </c>
      <c r="B467" s="6"/>
      <c r="C467" s="6"/>
      <c r="D467" s="6"/>
      <c r="E467" s="6"/>
      <c r="F467" s="6"/>
      <c r="G467" s="27">
        <f>SUM(G448:G466)</f>
        <v>115541498</v>
      </c>
      <c r="I467" s="27">
        <f>SUM(I450:I466)</f>
        <v>131917816</v>
      </c>
    </row>
    <row r="468" spans="1:10" ht="13.5" customHeight="1" thickTop="1">
      <c r="A468" s="14"/>
      <c r="B468" s="6"/>
      <c r="C468" s="6"/>
      <c r="D468" s="6"/>
      <c r="E468" s="6"/>
      <c r="F468" s="6"/>
      <c r="I468" s="17"/>
    </row>
    <row r="469" spans="1:10" ht="13.5" customHeight="1">
      <c r="A469" s="14"/>
      <c r="B469" s="6"/>
      <c r="C469" s="6"/>
      <c r="D469" s="6"/>
      <c r="E469" s="6"/>
      <c r="F469" s="6"/>
      <c r="I469" s="17"/>
    </row>
    <row r="470" spans="1:10" ht="13.5" customHeight="1">
      <c r="A470" s="14"/>
      <c r="B470" s="6"/>
      <c r="C470" s="6"/>
      <c r="D470" s="6"/>
      <c r="E470" s="6"/>
      <c r="F470" s="6"/>
      <c r="I470" s="17"/>
    </row>
    <row r="471" spans="1:10" ht="12.75" customHeight="1">
      <c r="A471" s="14"/>
      <c r="B471" s="6"/>
      <c r="C471" s="6"/>
      <c r="D471" s="6"/>
      <c r="E471" s="6"/>
      <c r="F471" s="6"/>
      <c r="I471" s="8"/>
    </row>
    <row r="472" spans="1:10" ht="12.75" customHeight="1">
      <c r="A472" s="14"/>
      <c r="B472" s="6"/>
      <c r="C472" s="6"/>
      <c r="D472" s="6"/>
      <c r="E472" s="6"/>
      <c r="F472" s="6"/>
      <c r="I472" s="8"/>
    </row>
    <row r="473" spans="1:10" ht="12.75" customHeight="1">
      <c r="A473" s="14" t="s">
        <v>282</v>
      </c>
      <c r="B473" s="6"/>
      <c r="C473" s="6"/>
      <c r="D473" s="6"/>
      <c r="E473" s="6"/>
      <c r="F473" s="6"/>
      <c r="I473" s="8"/>
    </row>
    <row r="474" spans="1:10" ht="12.75" customHeight="1">
      <c r="A474" s="14"/>
      <c r="B474" s="6"/>
      <c r="C474" s="6"/>
      <c r="D474" s="6"/>
      <c r="E474" s="6"/>
      <c r="F474" s="6"/>
      <c r="I474" s="8"/>
    </row>
    <row r="475" spans="1:10" ht="12.75" customHeight="1">
      <c r="A475" t="s">
        <v>283</v>
      </c>
      <c r="B475" s="6"/>
      <c r="C475" s="6"/>
      <c r="D475" s="6"/>
      <c r="E475" s="6"/>
      <c r="F475" s="6"/>
      <c r="I475" s="8"/>
    </row>
    <row r="476" spans="1:10" ht="12.75" customHeight="1">
      <c r="B476" s="6"/>
      <c r="C476" s="6"/>
      <c r="D476" s="6"/>
      <c r="E476" s="6"/>
      <c r="F476" s="6"/>
      <c r="I476" s="8"/>
    </row>
    <row r="477" spans="1:10" ht="12.75" customHeight="1">
      <c r="A477" s="5" t="s">
        <v>284</v>
      </c>
      <c r="B477" s="6"/>
      <c r="C477" s="6"/>
      <c r="D477" s="6"/>
      <c r="E477" s="6"/>
      <c r="F477" s="6"/>
      <c r="G477" s="8">
        <v>1505701</v>
      </c>
      <c r="I477" s="8">
        <v>1100507</v>
      </c>
      <c r="J477" s="18"/>
    </row>
    <row r="478" spans="1:10" ht="12.75" customHeight="1">
      <c r="A478" s="5" t="s">
        <v>285</v>
      </c>
      <c r="B478" s="6"/>
      <c r="C478" s="6"/>
      <c r="D478" s="6"/>
      <c r="E478" s="6"/>
      <c r="F478" s="6"/>
      <c r="G478" s="8">
        <f>17660+18835</f>
        <v>36495</v>
      </c>
      <c r="I478" s="8">
        <v>51634</v>
      </c>
      <c r="J478" s="18"/>
    </row>
    <row r="479" spans="1:10" ht="12.75" customHeight="1">
      <c r="A479" s="5" t="s">
        <v>286</v>
      </c>
      <c r="B479" s="6"/>
      <c r="C479" s="6"/>
      <c r="D479" s="6"/>
      <c r="E479" s="6"/>
      <c r="F479" s="6"/>
      <c r="G479" s="8">
        <v>2538773</v>
      </c>
      <c r="I479" s="8">
        <v>2133620</v>
      </c>
    </row>
    <row r="480" spans="1:10" ht="12.75" customHeight="1">
      <c r="A480" s="5" t="s">
        <v>287</v>
      </c>
      <c r="B480" s="6"/>
      <c r="C480" s="6"/>
      <c r="D480" s="6"/>
      <c r="E480" s="6"/>
      <c r="F480" s="6"/>
      <c r="G480" s="8">
        <v>568085</v>
      </c>
      <c r="I480" s="8">
        <v>435555</v>
      </c>
      <c r="J480" s="18"/>
    </row>
    <row r="481" spans="1:12" ht="12.75" customHeight="1">
      <c r="A481" s="5" t="s">
        <v>288</v>
      </c>
      <c r="B481" s="6"/>
      <c r="C481" s="6"/>
      <c r="D481" s="6"/>
      <c r="E481" s="6"/>
      <c r="F481" s="6"/>
      <c r="G481" s="8">
        <f>542863+44850+66925</f>
        <v>654638</v>
      </c>
      <c r="I481" s="8">
        <f>717758+117008+24000</f>
        <v>858766</v>
      </c>
    </row>
    <row r="482" spans="1:12" ht="12.75" customHeight="1">
      <c r="A482" s="5" t="s">
        <v>289</v>
      </c>
      <c r="B482" s="6"/>
      <c r="C482" s="6"/>
      <c r="D482" s="6"/>
      <c r="E482" s="6"/>
      <c r="F482" s="6"/>
      <c r="G482" s="8">
        <f>1216879</f>
        <v>1216879</v>
      </c>
      <c r="I482" s="8">
        <v>934160</v>
      </c>
    </row>
    <row r="483" spans="1:12" ht="12.75" customHeight="1">
      <c r="A483" s="5" t="s">
        <v>290</v>
      </c>
      <c r="B483" s="6"/>
      <c r="C483" s="6"/>
      <c r="D483" s="6"/>
      <c r="E483" s="6"/>
      <c r="F483" s="6"/>
      <c r="G483" s="11">
        <v>121245</v>
      </c>
      <c r="I483" s="11">
        <v>562376</v>
      </c>
      <c r="J483" s="18"/>
    </row>
    <row r="484" spans="1:12" ht="12.75" customHeight="1">
      <c r="A484" s="5" t="s">
        <v>291</v>
      </c>
      <c r="B484" s="6"/>
      <c r="C484" s="6"/>
      <c r="D484" s="6"/>
      <c r="E484" s="6"/>
      <c r="F484" s="6"/>
      <c r="G484" s="11">
        <v>165672</v>
      </c>
      <c r="I484" s="11"/>
      <c r="J484" s="18"/>
    </row>
    <row r="485" spans="1:12" ht="12.75" customHeight="1">
      <c r="A485" s="5" t="s">
        <v>292</v>
      </c>
      <c r="B485" s="6"/>
      <c r="C485" s="6"/>
      <c r="D485" s="6"/>
      <c r="E485" s="6"/>
      <c r="F485" s="6"/>
      <c r="G485" s="8">
        <v>236248</v>
      </c>
      <c r="I485" s="8">
        <v>76405</v>
      </c>
    </row>
    <row r="486" spans="1:12" ht="12.75" customHeight="1">
      <c r="A486" s="5" t="s">
        <v>293</v>
      </c>
      <c r="B486" s="6"/>
      <c r="C486" s="6"/>
      <c r="D486" s="6"/>
      <c r="E486" s="6"/>
      <c r="F486" s="6"/>
      <c r="G486" s="8">
        <v>115050</v>
      </c>
      <c r="I486" s="8">
        <f>66670+88500+28285</f>
        <v>183455</v>
      </c>
      <c r="L486" s="18"/>
    </row>
    <row r="487" spans="1:12" ht="12.75" customHeight="1">
      <c r="A487" s="5" t="s">
        <v>294</v>
      </c>
      <c r="B487" s="6"/>
      <c r="C487" s="6"/>
      <c r="D487" s="6"/>
      <c r="E487" s="6"/>
      <c r="F487" s="6"/>
      <c r="G487" s="8">
        <v>960793</v>
      </c>
      <c r="I487" s="8">
        <v>1215154</v>
      </c>
    </row>
    <row r="488" spans="1:12" ht="12.75" customHeight="1">
      <c r="A488" s="5" t="s">
        <v>295</v>
      </c>
      <c r="B488" s="6"/>
      <c r="C488" s="6"/>
      <c r="D488" s="6"/>
      <c r="E488" s="6"/>
      <c r="F488" s="6"/>
      <c r="G488" s="8">
        <v>525400</v>
      </c>
      <c r="I488" s="8">
        <v>562400</v>
      </c>
      <c r="J488" s="18"/>
    </row>
    <row r="489" spans="1:12" ht="12.75" customHeight="1">
      <c r="A489" s="5" t="s">
        <v>296</v>
      </c>
      <c r="B489" s="6"/>
      <c r="C489" s="6"/>
      <c r="D489" s="6"/>
      <c r="E489" s="6"/>
      <c r="F489" s="6"/>
      <c r="G489" s="8">
        <v>70800</v>
      </c>
      <c r="I489" s="8">
        <v>35400</v>
      </c>
    </row>
    <row r="490" spans="1:12" ht="13.5" customHeight="1">
      <c r="A490" s="5" t="s">
        <v>297</v>
      </c>
      <c r="B490" s="6"/>
      <c r="C490" s="6"/>
      <c r="D490" s="6"/>
      <c r="E490" s="6"/>
      <c r="F490" s="6"/>
      <c r="G490" s="8">
        <f>1132697-265500+301394-55562-87266-215888+1384259</f>
        <v>2194134</v>
      </c>
      <c r="I490" s="8">
        <f>912347+8400+3000-2-66038-138851</f>
        <v>718856</v>
      </c>
    </row>
    <row r="491" spans="1:12" ht="14.25" customHeight="1" thickBot="1">
      <c r="A491" s="14" t="s">
        <v>298</v>
      </c>
      <c r="G491" s="49">
        <f>SUM(G477:G490)</f>
        <v>10909913</v>
      </c>
      <c r="I491" s="49">
        <f>SUM(I475:I490)</f>
        <v>8868288</v>
      </c>
      <c r="J491" s="18"/>
    </row>
    <row r="492" spans="1:12" ht="14.25" customHeight="1" thickTop="1">
      <c r="G492" s="11"/>
    </row>
    <row r="493" spans="1:12" ht="14.25" customHeight="1">
      <c r="G493" s="11"/>
    </row>
    <row r="494" spans="1:12" ht="14.25" customHeight="1">
      <c r="A494" s="4" t="s">
        <v>299</v>
      </c>
      <c r="G494" s="11"/>
    </row>
    <row r="495" spans="1:12" ht="14.25" customHeight="1">
      <c r="A495" s="4"/>
      <c r="G495" s="11"/>
    </row>
    <row r="496" spans="1:12" ht="14.25" customHeight="1">
      <c r="A496" t="s">
        <v>300</v>
      </c>
      <c r="G496" s="11"/>
    </row>
    <row r="497" spans="1:10" ht="14.25" customHeight="1"/>
    <row r="498" spans="1:10" ht="14.25" customHeight="1"/>
    <row r="499" spans="1:10" ht="14.25" customHeight="1">
      <c r="A499" t="s">
        <v>301</v>
      </c>
      <c r="G499" s="8">
        <f>684377+99442</f>
        <v>783819</v>
      </c>
      <c r="I499" s="8">
        <f>315133+55997</f>
        <v>371130</v>
      </c>
    </row>
    <row r="500" spans="1:10" ht="14.25" customHeight="1">
      <c r="A500" t="s">
        <v>302</v>
      </c>
      <c r="G500" s="8">
        <v>47943</v>
      </c>
      <c r="I500" s="8">
        <f>9414+16048</f>
        <v>25462</v>
      </c>
    </row>
    <row r="501" spans="1:10" ht="14.25" customHeight="1">
      <c r="A501" t="s">
        <v>303</v>
      </c>
      <c r="G501" s="8">
        <v>0</v>
      </c>
      <c r="I501" s="8">
        <v>0</v>
      </c>
      <c r="J501" s="18"/>
    </row>
    <row r="502" spans="1:10" ht="14.25" customHeight="1">
      <c r="A502" t="s">
        <v>304</v>
      </c>
      <c r="F502" s="8"/>
      <c r="G502" s="8">
        <v>1119058</v>
      </c>
      <c r="I502" s="8">
        <f>731237+1723085</f>
        <v>2454322</v>
      </c>
    </row>
    <row r="503" spans="1:10" ht="14.25" customHeight="1">
      <c r="A503" t="s">
        <v>305</v>
      </c>
      <c r="G503" s="8">
        <v>8500</v>
      </c>
      <c r="I503" s="8">
        <v>0</v>
      </c>
      <c r="J503" s="18"/>
    </row>
    <row r="504" spans="1:10" ht="13.5" customHeight="1">
      <c r="A504" t="s">
        <v>306</v>
      </c>
      <c r="B504" s="6"/>
      <c r="C504" s="6"/>
      <c r="D504" s="6"/>
      <c r="E504" s="6"/>
      <c r="F504" s="6"/>
      <c r="G504" s="8">
        <f>144305+611396+10649+2349768-190139-3000-5874+11748</f>
        <v>2928853</v>
      </c>
      <c r="I504" s="8">
        <v>406770</v>
      </c>
    </row>
    <row r="505" spans="1:10" ht="13.5" customHeight="1">
      <c r="A505" t="s">
        <v>307</v>
      </c>
      <c r="B505" s="6"/>
      <c r="C505" s="6"/>
      <c r="D505" s="6"/>
      <c r="E505" s="6"/>
      <c r="F505" s="6"/>
      <c r="G505" s="26">
        <f>265423+78500+55562+190139+3000+5874-11748</f>
        <v>586750</v>
      </c>
      <c r="I505" s="26">
        <v>497400</v>
      </c>
    </row>
    <row r="506" spans="1:10" ht="12.75" customHeight="1" thickBot="1">
      <c r="A506" s="14" t="s">
        <v>308</v>
      </c>
      <c r="B506" s="6"/>
      <c r="C506" s="6"/>
      <c r="D506" s="6"/>
      <c r="E506" s="6"/>
      <c r="F506" s="6"/>
      <c r="G506" s="50">
        <f>SUM(G499:G505)</f>
        <v>5474923</v>
      </c>
      <c r="I506" s="50">
        <f>SUM(I494:I505)</f>
        <v>3755084</v>
      </c>
    </row>
    <row r="507" spans="1:10" ht="12.75" customHeight="1" thickTop="1">
      <c r="A507" s="14"/>
      <c r="B507" s="6"/>
      <c r="C507" s="6"/>
      <c r="D507" s="6"/>
      <c r="E507" s="6"/>
      <c r="F507" s="6"/>
      <c r="G507" s="11"/>
      <c r="I507" s="17"/>
    </row>
    <row r="508" spans="1:10" ht="12.75" customHeight="1">
      <c r="A508" s="14"/>
      <c r="B508" s="6"/>
      <c r="C508" s="6"/>
      <c r="D508" s="6"/>
      <c r="E508" s="6"/>
      <c r="F508" s="6"/>
      <c r="G508" s="11"/>
      <c r="I508" s="17"/>
    </row>
    <row r="509" spans="1:10" ht="12.75" customHeight="1">
      <c r="A509" s="14" t="s">
        <v>309</v>
      </c>
      <c r="B509" s="6"/>
      <c r="C509" s="6"/>
      <c r="D509" s="6"/>
      <c r="E509" s="6"/>
      <c r="F509" s="6"/>
      <c r="G509" s="11"/>
      <c r="I509" s="17"/>
    </row>
    <row r="510" spans="1:10" ht="12.75" customHeight="1">
      <c r="A510" s="14"/>
      <c r="B510" s="6"/>
      <c r="C510" s="6"/>
      <c r="D510" s="6"/>
      <c r="E510" s="6"/>
      <c r="F510" s="6"/>
      <c r="G510" s="11"/>
      <c r="I510" s="17"/>
    </row>
    <row r="511" spans="1:10" ht="12.75" customHeight="1">
      <c r="A511" s="5" t="s">
        <v>310</v>
      </c>
      <c r="B511" s="6"/>
      <c r="C511" s="6"/>
      <c r="D511" s="6"/>
      <c r="E511" s="6"/>
      <c r="F511" s="6"/>
      <c r="G511" s="11"/>
      <c r="I511" s="17"/>
    </row>
    <row r="512" spans="1:10" ht="12.75" customHeight="1">
      <c r="B512" s="6"/>
      <c r="C512" s="6"/>
      <c r="D512" s="6"/>
      <c r="E512" s="6"/>
      <c r="F512" s="6"/>
      <c r="G512" s="11"/>
      <c r="I512" s="17"/>
    </row>
    <row r="513" spans="1:9" ht="12.75" customHeight="1">
      <c r="A513" s="14"/>
      <c r="B513" s="6"/>
      <c r="C513" s="6"/>
      <c r="D513" s="6"/>
      <c r="E513" s="6"/>
      <c r="F513" s="6"/>
      <c r="G513" s="8">
        <v>0</v>
      </c>
      <c r="I513" s="8">
        <v>0</v>
      </c>
    </row>
    <row r="514" spans="1:9" ht="12.75" customHeight="1">
      <c r="A514" s="14"/>
      <c r="B514" s="6"/>
      <c r="C514" s="6"/>
      <c r="D514" s="6"/>
      <c r="E514" s="6"/>
      <c r="F514" s="6"/>
      <c r="G514" s="8">
        <v>0</v>
      </c>
    </row>
    <row r="515" spans="1:9" ht="12.75" customHeight="1">
      <c r="A515" s="14" t="s">
        <v>311</v>
      </c>
      <c r="B515" s="6"/>
      <c r="C515" s="6"/>
      <c r="D515" s="6"/>
      <c r="E515" s="6"/>
      <c r="F515" s="6"/>
      <c r="G515" s="8">
        <v>265500</v>
      </c>
      <c r="I515" s="8">
        <f>677615-127195</f>
        <v>550420</v>
      </c>
    </row>
    <row r="516" spans="1:9" ht="12.75" customHeight="1">
      <c r="A516" s="14" t="s">
        <v>312</v>
      </c>
      <c r="B516" s="6"/>
      <c r="C516" s="6"/>
      <c r="D516" s="6"/>
      <c r="E516" s="6"/>
      <c r="F516" s="6"/>
      <c r="G516" s="26">
        <v>281374</v>
      </c>
      <c r="I516" s="26">
        <v>127195</v>
      </c>
    </row>
    <row r="517" spans="1:9" ht="12.75" customHeight="1">
      <c r="A517" s="14" t="s">
        <v>176</v>
      </c>
      <c r="B517" s="6"/>
      <c r="C517" s="6"/>
      <c r="D517" s="6"/>
      <c r="E517" s="6"/>
      <c r="F517" s="6"/>
      <c r="G517" s="8">
        <f>SUM(G513:G516)</f>
        <v>546874</v>
      </c>
      <c r="I517" s="8">
        <f>SUM(I515:I516)</f>
        <v>677615</v>
      </c>
    </row>
    <row r="518" spans="1:9" ht="12.75" customHeight="1">
      <c r="A518" s="14" t="s">
        <v>313</v>
      </c>
      <c r="G518" s="8">
        <v>0</v>
      </c>
      <c r="I518" s="8">
        <v>960</v>
      </c>
    </row>
    <row r="519" spans="1:9" ht="12.75" customHeight="1">
      <c r="A519" s="14" t="s">
        <v>314</v>
      </c>
      <c r="G519" s="26">
        <v>7856132</v>
      </c>
      <c r="I519" s="26">
        <v>6985310</v>
      </c>
    </row>
    <row r="520" spans="1:9" ht="12.75" customHeight="1">
      <c r="A520" s="14" t="s">
        <v>315</v>
      </c>
      <c r="G520" s="8">
        <f>+G519+G517</f>
        <v>8403006</v>
      </c>
      <c r="I520" s="8">
        <f>+I519+I518+I517</f>
        <v>7663885</v>
      </c>
    </row>
    <row r="521" spans="1:9" ht="12.75" customHeight="1">
      <c r="A521" s="14"/>
    </row>
    <row r="522" spans="1:9" ht="12.75" customHeight="1">
      <c r="A522" s="14"/>
      <c r="G522" s="11"/>
    </row>
    <row r="523" spans="1:9" ht="12.75" customHeight="1">
      <c r="A523" s="14"/>
      <c r="G523" s="11"/>
    </row>
    <row r="524" spans="1:9" ht="12.75" customHeight="1">
      <c r="A524" s="14"/>
      <c r="G524" s="11"/>
    </row>
    <row r="525" spans="1:9" ht="12.75" customHeight="1">
      <c r="A525" s="14"/>
      <c r="G525" s="11"/>
    </row>
    <row r="526" spans="1:9" ht="12.75" customHeight="1">
      <c r="A526" s="4" t="s">
        <v>316</v>
      </c>
      <c r="B526" s="6"/>
      <c r="C526" s="6"/>
      <c r="D526" s="6"/>
      <c r="E526" s="6"/>
      <c r="F526" s="6"/>
    </row>
    <row r="527" spans="1:9" ht="13.5" customHeight="1">
      <c r="A527" s="4"/>
      <c r="B527" s="6"/>
      <c r="C527" s="6"/>
      <c r="D527" s="6"/>
      <c r="E527" s="6"/>
      <c r="F527" s="6"/>
      <c r="G527" s="26">
        <v>1050</v>
      </c>
      <c r="I527" s="26">
        <v>1050</v>
      </c>
    </row>
    <row r="528" spans="1:9" ht="13.5" customHeight="1" thickBot="1">
      <c r="A528" s="5" t="s">
        <v>317</v>
      </c>
      <c r="G528" s="22">
        <f>SUM(G522:G527)</f>
        <v>1050</v>
      </c>
      <c r="I528" s="22">
        <f>SUM(I522:I527)</f>
        <v>1050</v>
      </c>
    </row>
    <row r="529" spans="1:11" ht="13.5" customHeight="1" thickTop="1">
      <c r="A529" s="4" t="s">
        <v>318</v>
      </c>
    </row>
    <row r="530" spans="1:11" ht="13.5" customHeight="1" thickBot="1">
      <c r="A530" s="14" t="s">
        <v>319</v>
      </c>
      <c r="G530" s="22">
        <f>+G528+G506+G491+G520+G467</f>
        <v>140330390</v>
      </c>
      <c r="I530" s="22">
        <f>+I528+I506+I491+I520+I467</f>
        <v>152206123</v>
      </c>
    </row>
    <row r="531" spans="1:11" ht="12.75" customHeight="1" thickTop="1"/>
    <row r="532" spans="1:11" ht="12.75" customHeight="1">
      <c r="A532" s="14"/>
    </row>
    <row r="533" spans="1:11" ht="12.75" customHeight="1">
      <c r="A533" s="4" t="s">
        <v>320</v>
      </c>
      <c r="B533" s="4"/>
      <c r="E533" s="28"/>
      <c r="G533" s="17">
        <v>2235539</v>
      </c>
      <c r="I533" s="17">
        <v>3034109</v>
      </c>
      <c r="J533" s="18"/>
    </row>
    <row r="534" spans="1:11" ht="12.75" customHeight="1">
      <c r="A534" s="4" t="s">
        <v>321</v>
      </c>
      <c r="B534" s="4"/>
      <c r="E534" s="28"/>
      <c r="G534" s="29">
        <f>110862</f>
        <v>110862</v>
      </c>
      <c r="I534" s="29">
        <f>110862</f>
        <v>110862</v>
      </c>
      <c r="J534" s="18"/>
    </row>
    <row r="535" spans="1:11" ht="12.75" customHeight="1">
      <c r="A535" s="4" t="s">
        <v>322</v>
      </c>
      <c r="B535" s="4"/>
      <c r="E535" s="28"/>
      <c r="G535" s="17">
        <f>SUM(G533:G534)</f>
        <v>2346401</v>
      </c>
      <c r="I535" s="28">
        <f>SUM(I533:I534)</f>
        <v>3144971</v>
      </c>
      <c r="J535" s="18"/>
    </row>
    <row r="536" spans="1:11" ht="12.75" customHeight="1">
      <c r="A536" s="4" t="s">
        <v>323</v>
      </c>
      <c r="B536" s="4"/>
      <c r="E536" s="28"/>
      <c r="G536" s="16">
        <f>+G530+G535</f>
        <v>142676791</v>
      </c>
      <c r="I536" s="16">
        <f>+I530+I535</f>
        <v>155351094</v>
      </c>
      <c r="K536" s="18"/>
    </row>
    <row r="537" spans="1:11" ht="12.75" customHeight="1">
      <c r="B537" s="4"/>
      <c r="E537" s="28"/>
      <c r="G537" s="16"/>
      <c r="I537" s="16"/>
      <c r="K537" s="18"/>
    </row>
    <row r="538" spans="1:11" ht="12.75" customHeight="1">
      <c r="A538" s="4"/>
      <c r="B538" s="4"/>
      <c r="E538" s="28"/>
      <c r="G538" s="16"/>
      <c r="I538" s="16"/>
      <c r="K538" s="18"/>
    </row>
    <row r="539" spans="1:11" ht="12.75" customHeight="1">
      <c r="A539" s="4"/>
      <c r="B539" s="4"/>
      <c r="E539" s="28"/>
      <c r="G539" s="16"/>
      <c r="I539" s="16"/>
      <c r="K539" s="18"/>
    </row>
    <row r="540" spans="1:11" ht="12.75" customHeight="1">
      <c r="A540" s="4"/>
      <c r="B540" s="4"/>
      <c r="E540" s="28"/>
      <c r="H540" s="28"/>
      <c r="I540" s="40"/>
    </row>
    <row r="541" spans="1:11" ht="12.75" customHeight="1">
      <c r="A541" s="4"/>
      <c r="B541" s="4"/>
      <c r="E541" s="4"/>
      <c r="G541" s="4"/>
      <c r="H541" s="4"/>
    </row>
    <row r="542" spans="1:11" ht="12.75" customHeight="1">
      <c r="A542" s="4"/>
      <c r="B542" s="4"/>
      <c r="G542" s="4"/>
      <c r="H542" s="4"/>
    </row>
    <row r="543" spans="1:11" ht="12.75" customHeight="1">
      <c r="A543" s="4"/>
      <c r="B543" s="4"/>
      <c r="G543" s="4"/>
      <c r="H543" s="4"/>
    </row>
    <row r="544" spans="1:11" ht="12.75" customHeight="1">
      <c r="A544" s="4"/>
      <c r="B544" s="4"/>
      <c r="D544" s="4"/>
    </row>
    <row r="545" spans="1:7" ht="12.75" customHeight="1">
      <c r="A545" s="4"/>
      <c r="B545" s="4"/>
      <c r="D545" s="4"/>
      <c r="E545" s="4"/>
      <c r="F545" s="4"/>
    </row>
    <row r="546" spans="1:7" ht="12.75" customHeight="1">
      <c r="A546" s="4"/>
      <c r="B546" s="4"/>
      <c r="D546" s="4"/>
      <c r="E546" s="4"/>
      <c r="F546" s="4"/>
    </row>
    <row r="547" spans="1:7" ht="12.75" customHeight="1">
      <c r="A547" s="4"/>
      <c r="B547" s="4"/>
      <c r="D547" s="4"/>
      <c r="E547" s="4"/>
      <c r="F547" s="4"/>
    </row>
    <row r="548" spans="1:7" ht="12.75" customHeight="1">
      <c r="A548" s="4"/>
      <c r="B548" s="4"/>
      <c r="D548" s="4"/>
      <c r="E548" s="4"/>
      <c r="F548" s="4"/>
    </row>
    <row r="549" spans="1:7" ht="12.75" customHeight="1">
      <c r="A549" s="4"/>
      <c r="B549" s="4"/>
      <c r="E549" s="4"/>
      <c r="F549" s="4"/>
      <c r="G549" s="4"/>
    </row>
    <row r="550" spans="1:7" ht="12.75" customHeight="1">
      <c r="A550" s="4"/>
      <c r="B550" s="4"/>
      <c r="E550" s="4"/>
      <c r="F550" s="4"/>
      <c r="G550" s="4"/>
    </row>
    <row r="551" spans="1:7" ht="12.75" customHeight="1">
      <c r="A551" s="4"/>
      <c r="B551" s="4"/>
      <c r="E551" s="4"/>
      <c r="F551" s="4"/>
      <c r="G551" s="4"/>
    </row>
    <row r="552" spans="1:7" ht="12.75" customHeight="1">
      <c r="A552" s="4"/>
      <c r="B552" s="4"/>
      <c r="C552" s="4"/>
      <c r="D552" s="4"/>
      <c r="E552" s="4"/>
    </row>
    <row r="553" spans="1:7" ht="12.75" customHeight="1">
      <c r="A553" s="4"/>
      <c r="B553" s="4"/>
      <c r="E553" s="4"/>
      <c r="F553" s="4"/>
      <c r="G553" s="4"/>
    </row>
    <row r="554" spans="1:7" ht="12.75" customHeight="1">
      <c r="B554" s="4"/>
      <c r="E554" s="4"/>
      <c r="F554" s="4"/>
      <c r="G554" s="4"/>
    </row>
    <row r="555" spans="1:7" ht="12.75" customHeight="1">
      <c r="A555" s="4"/>
      <c r="B555" s="4"/>
      <c r="E555" s="4"/>
      <c r="F555" s="4"/>
      <c r="G555" s="4"/>
    </row>
    <row r="556" spans="1:7" ht="12.75" customHeight="1">
      <c r="A556" s="4"/>
      <c r="D556" s="4"/>
      <c r="E556" s="4"/>
    </row>
    <row r="557" spans="1:7" ht="12.75" customHeight="1">
      <c r="A557" s="4"/>
      <c r="D557" s="4"/>
      <c r="E557" s="4"/>
    </row>
    <row r="558" spans="1:7" ht="12.75" customHeight="1">
      <c r="D558" s="4"/>
      <c r="E558" s="4"/>
    </row>
    <row r="559" spans="1:7" ht="12.75" customHeight="1">
      <c r="D559" s="4"/>
      <c r="E559" s="4"/>
    </row>
    <row r="683" spans="1:1" ht="12.75" customHeight="1">
      <c r="A683" s="51"/>
    </row>
    <row r="684" spans="1:1" ht="12.75" customHeight="1">
      <c r="A684" s="52"/>
    </row>
  </sheetData>
  <mergeCells count="4">
    <mergeCell ref="A2:I2"/>
    <mergeCell ref="A3:I3"/>
    <mergeCell ref="A4:I4"/>
    <mergeCell ref="A5:I5"/>
  </mergeCells>
  <pageMargins left="0.51181102362204722" right="0.11811023622047245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2023-07-12T15:14:23Z</cp:lastPrinted>
  <dcterms:created xsi:type="dcterms:W3CDTF">2023-07-11T13:18:41Z</dcterms:created>
  <dcterms:modified xsi:type="dcterms:W3CDTF">2023-07-12T15:15:05Z</dcterms:modified>
</cp:coreProperties>
</file>